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10.0.2.2\CJ-Trafic\DE\buget 2025\(2) Martie 2025\proiect\Listate\"/>
    </mc:Choice>
  </mc:AlternateContent>
  <xr:revisionPtr revIDLastSave="0" documentId="13_ncr:1_{401415F1-F508-4252-98E1-32BAA199933C}" xr6:coauthVersionLast="47" xr6:coauthVersionMax="47" xr10:uidLastSave="{00000000-0000-0000-0000-000000000000}"/>
  <bookViews>
    <workbookView xWindow="-120" yWindow="-120" windowWidth="29040" windowHeight="15720" activeTab="1" xr2:uid="{00000000-000D-0000-FFFF-FFFF00000000}"/>
  </bookViews>
  <sheets>
    <sheet name="buget general al UAT" sheetId="1" r:id="rId1"/>
    <sheet name="buget 2025" sheetId="23" r:id="rId2"/>
    <sheet name="Sheet2" sheetId="7" r:id="rId3"/>
  </sheets>
  <definedNames>
    <definedName name="_xlnm._FilterDatabase" localSheetId="1" hidden="1">'buget 2025'!$A$10:$AJ$1065</definedName>
    <definedName name="_xlnm.Print_Area" localSheetId="1">'buget 2025'!$A$1:$G$1075</definedName>
    <definedName name="_xlnm.Print_Area" localSheetId="0">'buget general al UAT'!$A$1:$K$124</definedName>
    <definedName name="_xlnm.Print_Titles" localSheetId="1">'buget 2025'!$7:$8</definedName>
    <definedName name="_xlnm.Print_Titles" localSheetId="0">'buget general al UAT'!$7:$17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1" i="1" l="1"/>
  <c r="J21" i="1"/>
  <c r="G87" i="7"/>
  <c r="E87" i="7" s="1"/>
  <c r="K3" i="1"/>
  <c r="N33" i="7"/>
  <c r="M30" i="7"/>
  <c r="M33" i="7"/>
  <c r="E386" i="23"/>
  <c r="E755" i="23"/>
  <c r="E751" i="23"/>
  <c r="F977" i="23"/>
  <c r="E977" i="23"/>
  <c r="F623" i="23"/>
  <c r="E518" i="23"/>
  <c r="F215" i="23"/>
  <c r="E215" i="23"/>
  <c r="F214" i="23"/>
  <c r="E214" i="23"/>
  <c r="F213" i="23"/>
  <c r="E213" i="23"/>
  <c r="E211" i="23"/>
  <c r="L215" i="23"/>
  <c r="E521" i="23"/>
  <c r="E519" i="23" s="1"/>
  <c r="G524" i="23"/>
  <c r="Q524" i="23" s="1"/>
  <c r="L523" i="23"/>
  <c r="G523" i="23"/>
  <c r="Q523" i="23" s="1"/>
  <c r="G522" i="23"/>
  <c r="Q522" i="23" s="1"/>
  <c r="F521" i="23"/>
  <c r="F212" i="23" l="1"/>
  <c r="F519" i="23"/>
  <c r="G214" i="23"/>
  <c r="G213" i="23"/>
  <c r="Q213" i="23" s="1"/>
  <c r="E212" i="23"/>
  <c r="G215" i="23"/>
  <c r="Q215" i="23" s="1"/>
  <c r="G521" i="23"/>
  <c r="K524" i="23"/>
  <c r="L522" i="23"/>
  <c r="L524" i="23"/>
  <c r="K522" i="23"/>
  <c r="K523" i="23"/>
  <c r="K215" i="23" l="1"/>
  <c r="L521" i="23"/>
  <c r="G212" i="23"/>
  <c r="K213" i="23"/>
  <c r="L213" i="23"/>
  <c r="K521" i="23"/>
  <c r="Q521" i="23"/>
  <c r="G888" i="23" l="1"/>
  <c r="E714" i="23"/>
  <c r="E713" i="23"/>
  <c r="E624" i="23"/>
  <c r="G624" i="23" s="1"/>
  <c r="E631" i="23"/>
  <c r="G631" i="23" s="1"/>
  <c r="F629" i="23"/>
  <c r="G633" i="23"/>
  <c r="L633" i="23" s="1"/>
  <c r="K632" i="23"/>
  <c r="L632" i="23"/>
  <c r="Q632" i="23"/>
  <c r="K97" i="7"/>
  <c r="K96" i="7"/>
  <c r="E96" i="1" s="1"/>
  <c r="E95" i="1" s="1"/>
  <c r="P91" i="7"/>
  <c r="P90" i="7"/>
  <c r="I88" i="7"/>
  <c r="H88" i="7"/>
  <c r="G88" i="7"/>
  <c r="F88" i="7"/>
  <c r="I87" i="7"/>
  <c r="H87" i="7"/>
  <c r="F87" i="7"/>
  <c r="N85" i="7"/>
  <c r="M85" i="7"/>
  <c r="L85" i="7"/>
  <c r="E85" i="1" s="1"/>
  <c r="N84" i="7"/>
  <c r="D67" i="7"/>
  <c r="D66" i="7"/>
  <c r="J64" i="7"/>
  <c r="J63" i="7"/>
  <c r="P60" i="7"/>
  <c r="O60" i="7"/>
  <c r="J60" i="7"/>
  <c r="E59" i="7"/>
  <c r="E58" i="7"/>
  <c r="E57" i="7"/>
  <c r="E56" i="7"/>
  <c r="R55" i="7"/>
  <c r="Q55" i="7"/>
  <c r="P55" i="7"/>
  <c r="O55" i="7"/>
  <c r="N55" i="7"/>
  <c r="M55" i="7"/>
  <c r="L55" i="7"/>
  <c r="K55" i="7"/>
  <c r="J55" i="7"/>
  <c r="I55" i="7"/>
  <c r="H55" i="7"/>
  <c r="G55" i="7"/>
  <c r="F55" i="7"/>
  <c r="E55" i="7"/>
  <c r="D55" i="7"/>
  <c r="C55" i="7"/>
  <c r="E54" i="7"/>
  <c r="D54" i="1" s="1"/>
  <c r="E53" i="7"/>
  <c r="E52" i="7"/>
  <c r="E51" i="7"/>
  <c r="E50" i="7"/>
  <c r="E49" i="7"/>
  <c r="E48" i="7"/>
  <c r="E47" i="7"/>
  <c r="E46" i="7"/>
  <c r="P45" i="7"/>
  <c r="E45" i="7"/>
  <c r="D45" i="1" s="1"/>
  <c r="E44" i="7"/>
  <c r="D44" i="1" s="1"/>
  <c r="R43" i="7"/>
  <c r="Q43" i="7"/>
  <c r="P43" i="7"/>
  <c r="O43" i="7"/>
  <c r="N43" i="7"/>
  <c r="N42" i="7" s="1"/>
  <c r="M43" i="7"/>
  <c r="M84" i="7" s="1"/>
  <c r="L43" i="7"/>
  <c r="L84" i="7" s="1"/>
  <c r="K43" i="7"/>
  <c r="K42" i="7" s="1"/>
  <c r="K60" i="7" s="1"/>
  <c r="J43" i="7"/>
  <c r="I43" i="7"/>
  <c r="I42" i="7" s="1"/>
  <c r="H43" i="7"/>
  <c r="H42" i="7" s="1"/>
  <c r="G43" i="7"/>
  <c r="G42" i="7" s="1"/>
  <c r="F43" i="7"/>
  <c r="D43" i="7"/>
  <c r="C43" i="7"/>
  <c r="R42" i="7"/>
  <c r="Q42" i="7"/>
  <c r="P42" i="7"/>
  <c r="O42" i="7"/>
  <c r="J42" i="7"/>
  <c r="F42" i="7"/>
  <c r="D42" i="7"/>
  <c r="C42" i="7"/>
  <c r="E41" i="7"/>
  <c r="E40" i="7"/>
  <c r="E39" i="7"/>
  <c r="E38" i="7"/>
  <c r="N36" i="7"/>
  <c r="M36" i="7"/>
  <c r="L36" i="7"/>
  <c r="I36" i="7"/>
  <c r="H36" i="7"/>
  <c r="G36" i="7"/>
  <c r="F36" i="7"/>
  <c r="Q35" i="7"/>
  <c r="P35" i="7"/>
  <c r="O35" i="7"/>
  <c r="J35" i="7"/>
  <c r="I35" i="7"/>
  <c r="H35" i="7"/>
  <c r="G35" i="7"/>
  <c r="F35" i="7"/>
  <c r="D35" i="7"/>
  <c r="D60" i="7" s="1"/>
  <c r="C35" i="7"/>
  <c r="E34" i="7"/>
  <c r="Q33" i="7"/>
  <c r="P33" i="7"/>
  <c r="O33" i="7"/>
  <c r="L33" i="7"/>
  <c r="L14" i="7" s="1"/>
  <c r="K33" i="7"/>
  <c r="K14" i="7" s="1"/>
  <c r="J33" i="7"/>
  <c r="I33" i="7"/>
  <c r="H33" i="7"/>
  <c r="H14" i="7" s="1"/>
  <c r="D33" i="7"/>
  <c r="C33" i="7"/>
  <c r="E32" i="7"/>
  <c r="E31" i="7"/>
  <c r="E30" i="7"/>
  <c r="E15" i="7" s="1"/>
  <c r="E29" i="7"/>
  <c r="E28" i="7"/>
  <c r="E27" i="7"/>
  <c r="E26" i="7"/>
  <c r="E25" i="7"/>
  <c r="Q24" i="7"/>
  <c r="P24" i="7"/>
  <c r="O24" i="7"/>
  <c r="N24" i="7"/>
  <c r="M24" i="7"/>
  <c r="L24" i="7"/>
  <c r="K24" i="7"/>
  <c r="J24" i="7"/>
  <c r="I24" i="7"/>
  <c r="H24" i="7"/>
  <c r="G24" i="7"/>
  <c r="F24" i="7"/>
  <c r="E24" i="7"/>
  <c r="D24" i="7"/>
  <c r="C24" i="7"/>
  <c r="E23" i="7"/>
  <c r="E22" i="7"/>
  <c r="E21" i="7"/>
  <c r="E20" i="7"/>
  <c r="Q19" i="7"/>
  <c r="P19" i="7"/>
  <c r="O19" i="7"/>
  <c r="N19" i="7"/>
  <c r="M19" i="7"/>
  <c r="L19" i="7"/>
  <c r="K19" i="7"/>
  <c r="J19" i="7"/>
  <c r="I19" i="7"/>
  <c r="H19" i="7"/>
  <c r="G19" i="7"/>
  <c r="F19" i="7"/>
  <c r="E19" i="7"/>
  <c r="D19" i="7"/>
  <c r="C19" i="7"/>
  <c r="E18" i="7"/>
  <c r="E17" i="7"/>
  <c r="Q16" i="7"/>
  <c r="P16" i="7"/>
  <c r="O16" i="7"/>
  <c r="N16" i="7"/>
  <c r="M16" i="7"/>
  <c r="L16" i="7"/>
  <c r="K16" i="7"/>
  <c r="J16" i="7"/>
  <c r="I16" i="7"/>
  <c r="H16" i="7"/>
  <c r="G16" i="7"/>
  <c r="F16" i="7"/>
  <c r="E16" i="7"/>
  <c r="D16" i="7"/>
  <c r="C16" i="7"/>
  <c r="Q15" i="7"/>
  <c r="P15" i="7"/>
  <c r="O15" i="7"/>
  <c r="N15" i="7"/>
  <c r="N14" i="7" s="1"/>
  <c r="M15" i="7"/>
  <c r="M14" i="7" s="1"/>
  <c r="L15" i="7"/>
  <c r="K15" i="7"/>
  <c r="J15" i="7"/>
  <c r="I15" i="7"/>
  <c r="H15" i="7"/>
  <c r="G15" i="7"/>
  <c r="F15" i="7"/>
  <c r="D15" i="7"/>
  <c r="D14" i="7" s="1"/>
  <c r="C15" i="7"/>
  <c r="Q14" i="7"/>
  <c r="P14" i="7"/>
  <c r="O14" i="7"/>
  <c r="J14" i="7"/>
  <c r="I14" i="7"/>
  <c r="C14" i="7"/>
  <c r="Q1078" i="23"/>
  <c r="Q1077" i="23"/>
  <c r="Q1076" i="23"/>
  <c r="Q1075" i="23"/>
  <c r="Q1074" i="23"/>
  <c r="D1074" i="23"/>
  <c r="Q1073" i="23"/>
  <c r="D1073" i="23"/>
  <c r="Q1072" i="23"/>
  <c r="Q1071" i="23"/>
  <c r="Q1070" i="23"/>
  <c r="Q1069" i="23"/>
  <c r="D1069" i="23"/>
  <c r="Q1068" i="23"/>
  <c r="D1068" i="23"/>
  <c r="Q1066" i="23"/>
  <c r="Q1065" i="23"/>
  <c r="Q1064" i="23"/>
  <c r="G1054" i="23"/>
  <c r="J1053" i="23"/>
  <c r="I1053" i="23"/>
  <c r="H1053" i="23"/>
  <c r="F1053" i="23"/>
  <c r="E1053" i="23"/>
  <c r="G1052" i="23"/>
  <c r="J1051" i="23"/>
  <c r="J1050" i="23" s="1"/>
  <c r="I1051" i="23"/>
  <c r="I1050" i="23" s="1"/>
  <c r="H1051" i="23"/>
  <c r="H1050" i="23" s="1"/>
  <c r="G1051" i="23"/>
  <c r="F1051" i="23"/>
  <c r="E1051" i="23"/>
  <c r="H1049" i="23"/>
  <c r="J1049" i="23" s="1"/>
  <c r="G1049" i="23"/>
  <c r="G1048" i="23"/>
  <c r="K1048" i="23" s="1"/>
  <c r="J1047" i="23"/>
  <c r="I1047" i="23"/>
  <c r="H1047" i="23"/>
  <c r="F1047" i="23"/>
  <c r="E1047" i="23"/>
  <c r="G1046" i="23"/>
  <c r="K1046" i="23" s="1"/>
  <c r="G1045" i="23"/>
  <c r="J1044" i="23"/>
  <c r="I1044" i="23"/>
  <c r="H1044" i="23"/>
  <c r="F1044" i="23"/>
  <c r="E1044" i="23"/>
  <c r="F1042" i="23"/>
  <c r="E1042" i="23"/>
  <c r="F1041" i="23"/>
  <c r="H1041" i="23" s="1"/>
  <c r="J1041" i="23" s="1"/>
  <c r="E1041" i="23"/>
  <c r="G1039" i="23"/>
  <c r="G1038" i="23"/>
  <c r="J1037" i="23"/>
  <c r="I1037" i="23"/>
  <c r="H1037" i="23"/>
  <c r="F1037" i="23"/>
  <c r="E1037" i="23"/>
  <c r="H1036" i="23"/>
  <c r="J1036" i="23" s="1"/>
  <c r="G1036" i="23"/>
  <c r="K1036" i="23" s="1"/>
  <c r="J1035" i="23"/>
  <c r="I1035" i="23"/>
  <c r="H1035" i="23"/>
  <c r="G1035" i="23"/>
  <c r="L1035" i="23" s="1"/>
  <c r="F1034" i="23"/>
  <c r="E1034" i="23"/>
  <c r="H1032" i="23"/>
  <c r="G1032" i="23"/>
  <c r="K1032" i="23" s="1"/>
  <c r="F1031" i="23"/>
  <c r="H1031" i="23" s="1"/>
  <c r="J1031" i="23" s="1"/>
  <c r="E1031" i="23"/>
  <c r="H1030" i="23"/>
  <c r="J1030" i="23" s="1"/>
  <c r="G1030" i="23"/>
  <c r="K1030" i="23" s="1"/>
  <c r="F1029" i="23"/>
  <c r="H1029" i="23" s="1"/>
  <c r="J1029" i="23" s="1"/>
  <c r="E1029" i="23"/>
  <c r="F1027" i="23"/>
  <c r="H1027" i="23" s="1"/>
  <c r="J1027" i="23" s="1"/>
  <c r="E1027" i="23"/>
  <c r="G1026" i="23"/>
  <c r="G1025" i="23"/>
  <c r="G1024" i="23"/>
  <c r="F1023" i="23"/>
  <c r="E1023" i="23"/>
  <c r="G1022" i="23"/>
  <c r="Q1022" i="23" s="1"/>
  <c r="G1021" i="23"/>
  <c r="Q1021" i="23" s="1"/>
  <c r="F1020" i="23"/>
  <c r="F1028" i="23" s="1"/>
  <c r="E1020" i="23"/>
  <c r="G1019" i="23"/>
  <c r="J1018" i="23"/>
  <c r="I1018" i="23"/>
  <c r="H1018" i="23"/>
  <c r="G1017" i="23"/>
  <c r="G1016" i="23"/>
  <c r="G1015" i="23"/>
  <c r="F1014" i="23"/>
  <c r="E1014" i="23"/>
  <c r="J1013" i="23"/>
  <c r="I1013" i="23"/>
  <c r="H1013" i="23"/>
  <c r="G1013" i="23"/>
  <c r="K1013" i="23" s="1"/>
  <c r="J1012" i="23"/>
  <c r="I1012" i="23"/>
  <c r="H1012" i="23"/>
  <c r="G1012" i="23"/>
  <c r="K1012" i="23" s="1"/>
  <c r="J1011" i="23"/>
  <c r="I1011" i="23"/>
  <c r="H1011" i="23"/>
  <c r="G1011" i="23"/>
  <c r="J1010" i="23"/>
  <c r="I1010" i="23"/>
  <c r="H1010" i="23"/>
  <c r="H1008" i="23" s="1"/>
  <c r="E1010" i="23"/>
  <c r="G1010" i="23" s="1"/>
  <c r="Q1010" i="23" s="1"/>
  <c r="Q1009" i="23"/>
  <c r="L1009" i="23"/>
  <c r="K1009" i="23"/>
  <c r="I1009" i="23"/>
  <c r="H1009" i="23"/>
  <c r="J1009" i="23" s="1"/>
  <c r="F1008" i="23"/>
  <c r="Q1006" i="23"/>
  <c r="L1006" i="23"/>
  <c r="K1006" i="23"/>
  <c r="I1006" i="23"/>
  <c r="H1006" i="23"/>
  <c r="J1006" i="23" s="1"/>
  <c r="F999" i="23"/>
  <c r="E999" i="23"/>
  <c r="H998" i="23"/>
  <c r="G998" i="23"/>
  <c r="L998" i="23" s="1"/>
  <c r="G997" i="23"/>
  <c r="K997" i="23" s="1"/>
  <c r="F996" i="23"/>
  <c r="E996" i="23"/>
  <c r="G994" i="23"/>
  <c r="G993" i="23" s="1"/>
  <c r="L993" i="23" s="1"/>
  <c r="J993" i="23"/>
  <c r="I993" i="23"/>
  <c r="H993" i="23"/>
  <c r="F993" i="23"/>
  <c r="E993" i="23"/>
  <c r="L992" i="23"/>
  <c r="H992" i="23"/>
  <c r="G992" i="23"/>
  <c r="J97" i="1" s="1"/>
  <c r="J95" i="1" s="1"/>
  <c r="H991" i="23"/>
  <c r="J991" i="23" s="1"/>
  <c r="G991" i="23"/>
  <c r="K991" i="23" s="1"/>
  <c r="L990" i="23"/>
  <c r="F990" i="23"/>
  <c r="E990" i="23"/>
  <c r="L989" i="23"/>
  <c r="H989" i="23"/>
  <c r="J989" i="23" s="1"/>
  <c r="G989" i="23"/>
  <c r="K989" i="23" s="1"/>
  <c r="H988" i="23"/>
  <c r="J988" i="23" s="1"/>
  <c r="G988" i="23"/>
  <c r="Q988" i="23" s="1"/>
  <c r="L987" i="23"/>
  <c r="F987" i="23"/>
  <c r="E987" i="23"/>
  <c r="J986" i="23"/>
  <c r="I986" i="23"/>
  <c r="H986" i="23"/>
  <c r="G986" i="23"/>
  <c r="Q986" i="23" s="1"/>
  <c r="H985" i="23"/>
  <c r="G985" i="23"/>
  <c r="Q985" i="23" s="1"/>
  <c r="F984" i="23"/>
  <c r="E984" i="23"/>
  <c r="H983" i="23"/>
  <c r="G983" i="23"/>
  <c r="H982" i="23"/>
  <c r="J982" i="23" s="1"/>
  <c r="G982" i="23"/>
  <c r="F981" i="23"/>
  <c r="E981" i="23"/>
  <c r="J980" i="23"/>
  <c r="I980" i="23"/>
  <c r="H980" i="23"/>
  <c r="G980" i="23"/>
  <c r="H979" i="23"/>
  <c r="J979" i="23" s="1"/>
  <c r="G979" i="23"/>
  <c r="K979" i="23" s="1"/>
  <c r="F978" i="23"/>
  <c r="E978" i="23"/>
  <c r="F976" i="23"/>
  <c r="E976" i="23"/>
  <c r="G973" i="23"/>
  <c r="G972" i="23" s="1"/>
  <c r="L972" i="23" s="1"/>
  <c r="J972" i="23"/>
  <c r="J967" i="23" s="1"/>
  <c r="I972" i="23"/>
  <c r="I967" i="23" s="1"/>
  <c r="H972" i="23"/>
  <c r="H967" i="23" s="1"/>
  <c r="F972" i="23"/>
  <c r="E972" i="23"/>
  <c r="F971" i="23"/>
  <c r="F939" i="23" s="1"/>
  <c r="E971" i="23"/>
  <c r="E939" i="23" s="1"/>
  <c r="F970" i="23"/>
  <c r="E970" i="23"/>
  <c r="G969" i="23"/>
  <c r="Q969" i="23" s="1"/>
  <c r="G968" i="23"/>
  <c r="F967" i="23"/>
  <c r="E967" i="23"/>
  <c r="G966" i="23"/>
  <c r="Q966" i="23" s="1"/>
  <c r="G965" i="23"/>
  <c r="G964" i="23"/>
  <c r="K964" i="23" s="1"/>
  <c r="G963" i="23"/>
  <c r="L963" i="23" s="1"/>
  <c r="G962" i="23"/>
  <c r="Q962" i="23" s="1"/>
  <c r="G961" i="23"/>
  <c r="K961" i="23" s="1"/>
  <c r="G960" i="23"/>
  <c r="G959" i="23"/>
  <c r="L959" i="23" s="1"/>
  <c r="G958" i="23"/>
  <c r="Q958" i="23" s="1"/>
  <c r="G957" i="23"/>
  <c r="K957" i="23" s="1"/>
  <c r="G956" i="23"/>
  <c r="G955" i="23"/>
  <c r="L955" i="23" s="1"/>
  <c r="G954" i="23"/>
  <c r="Q954" i="23" s="1"/>
  <c r="Q953" i="23"/>
  <c r="L953" i="23"/>
  <c r="K953" i="23"/>
  <c r="F952" i="23"/>
  <c r="F951" i="23" s="1"/>
  <c r="E952" i="23"/>
  <c r="J951" i="23"/>
  <c r="I951" i="23"/>
  <c r="H951" i="23"/>
  <c r="G950" i="23"/>
  <c r="G949" i="23"/>
  <c r="G948" i="23"/>
  <c r="J947" i="23"/>
  <c r="I947" i="23"/>
  <c r="H947" i="23"/>
  <c r="F947" i="23"/>
  <c r="E947" i="23"/>
  <c r="G946" i="23"/>
  <c r="L946" i="23" s="1"/>
  <c r="G945" i="23"/>
  <c r="G944" i="23"/>
  <c r="G943" i="23"/>
  <c r="Q943" i="23" s="1"/>
  <c r="G942" i="23"/>
  <c r="G941" i="23"/>
  <c r="J940" i="23"/>
  <c r="I940" i="23"/>
  <c r="H940" i="23"/>
  <c r="F940" i="23"/>
  <c r="E940" i="23"/>
  <c r="J939" i="23"/>
  <c r="I939" i="23"/>
  <c r="H939" i="23"/>
  <c r="L938" i="23"/>
  <c r="G935" i="23"/>
  <c r="K935" i="23" s="1"/>
  <c r="G934" i="23"/>
  <c r="J933" i="23"/>
  <c r="J931" i="23" s="1"/>
  <c r="J929" i="23" s="1"/>
  <c r="I933" i="23"/>
  <c r="I931" i="23" s="1"/>
  <c r="I929" i="23" s="1"/>
  <c r="H933" i="23"/>
  <c r="H931" i="23" s="1"/>
  <c r="H929" i="23" s="1"/>
  <c r="F933" i="23"/>
  <c r="E933" i="23"/>
  <c r="G932" i="23"/>
  <c r="F931" i="23"/>
  <c r="E931" i="23"/>
  <c r="G930" i="23"/>
  <c r="G929" i="23" s="1"/>
  <c r="F929" i="23"/>
  <c r="E929" i="23"/>
  <c r="J928" i="23"/>
  <c r="I928" i="23"/>
  <c r="H928" i="23"/>
  <c r="G927" i="23"/>
  <c r="G926" i="23"/>
  <c r="Q926" i="23" s="1"/>
  <c r="J925" i="23"/>
  <c r="I925" i="23"/>
  <c r="H925" i="23"/>
  <c r="F925" i="23"/>
  <c r="E925" i="23"/>
  <c r="G924" i="23"/>
  <c r="Q924" i="23" s="1"/>
  <c r="G923" i="23"/>
  <c r="J922" i="23"/>
  <c r="I922" i="23"/>
  <c r="H922" i="23"/>
  <c r="F922" i="23"/>
  <c r="E922" i="23"/>
  <c r="G920" i="23"/>
  <c r="K920" i="23" s="1"/>
  <c r="G919" i="23"/>
  <c r="J918" i="23"/>
  <c r="I918" i="23"/>
  <c r="H918" i="23"/>
  <c r="F918" i="23"/>
  <c r="F917" i="23" s="1"/>
  <c r="H917" i="23" s="1"/>
  <c r="E918" i="23"/>
  <c r="E917" i="23" s="1"/>
  <c r="G916" i="23"/>
  <c r="G915" i="23"/>
  <c r="J914" i="23"/>
  <c r="I914" i="23"/>
  <c r="H914" i="23"/>
  <c r="F914" i="23"/>
  <c r="E914" i="23"/>
  <c r="G913" i="23"/>
  <c r="G912" i="23"/>
  <c r="J911" i="23"/>
  <c r="I911" i="23"/>
  <c r="H911" i="23"/>
  <c r="F911" i="23"/>
  <c r="E911" i="23"/>
  <c r="F909" i="23"/>
  <c r="F904" i="23" s="1"/>
  <c r="E909" i="23"/>
  <c r="F908" i="23"/>
  <c r="E908" i="23"/>
  <c r="J904" i="23"/>
  <c r="I904" i="23"/>
  <c r="H904" i="23"/>
  <c r="G900" i="23"/>
  <c r="G899" i="23"/>
  <c r="Q899" i="23" s="1"/>
  <c r="J898" i="23"/>
  <c r="I898" i="23"/>
  <c r="H898" i="23"/>
  <c r="F898" i="23"/>
  <c r="E898" i="23"/>
  <c r="L897" i="23"/>
  <c r="G897" i="23"/>
  <c r="K897" i="23" s="1"/>
  <c r="G896" i="23"/>
  <c r="J895" i="23"/>
  <c r="I895" i="23"/>
  <c r="H895" i="23"/>
  <c r="F895" i="23"/>
  <c r="E895" i="23"/>
  <c r="G894" i="23"/>
  <c r="G893" i="23"/>
  <c r="K893" i="23" s="1"/>
  <c r="G892" i="23"/>
  <c r="G891" i="23"/>
  <c r="Q891" i="23" s="1"/>
  <c r="J890" i="23"/>
  <c r="I890" i="23"/>
  <c r="H890" i="23"/>
  <c r="F890" i="23"/>
  <c r="E890" i="23"/>
  <c r="J889" i="23"/>
  <c r="I889" i="23"/>
  <c r="H889" i="23"/>
  <c r="F889" i="23"/>
  <c r="E889" i="23"/>
  <c r="G887" i="23"/>
  <c r="J886" i="23"/>
  <c r="I886" i="23"/>
  <c r="H886" i="23"/>
  <c r="F886" i="23"/>
  <c r="E886" i="23"/>
  <c r="F885" i="23"/>
  <c r="F830" i="23" s="1"/>
  <c r="E885" i="23"/>
  <c r="F884" i="23"/>
  <c r="E884" i="23"/>
  <c r="G883" i="23"/>
  <c r="G882" i="23"/>
  <c r="G881" i="23"/>
  <c r="Q881" i="23" s="1"/>
  <c r="G880" i="23"/>
  <c r="J879" i="23"/>
  <c r="I879" i="23"/>
  <c r="H879" i="23"/>
  <c r="J878" i="23"/>
  <c r="I878" i="23"/>
  <c r="H878" i="23"/>
  <c r="G878" i="23"/>
  <c r="G877" i="23" s="1"/>
  <c r="F877" i="23"/>
  <c r="H877" i="23" s="1"/>
  <c r="I877" i="23" s="1"/>
  <c r="J877" i="23" s="1"/>
  <c r="E877" i="23"/>
  <c r="J876" i="23"/>
  <c r="I876" i="23"/>
  <c r="H876" i="23"/>
  <c r="G876" i="23"/>
  <c r="F875" i="23"/>
  <c r="H875" i="23" s="1"/>
  <c r="I875" i="23" s="1"/>
  <c r="J875" i="23" s="1"/>
  <c r="E875" i="23"/>
  <c r="J874" i="23"/>
  <c r="J873" i="23" s="1"/>
  <c r="I874" i="23"/>
  <c r="I873" i="23" s="1"/>
  <c r="H874" i="23"/>
  <c r="H873" i="23" s="1"/>
  <c r="G874" i="23"/>
  <c r="F873" i="23"/>
  <c r="E873" i="23"/>
  <c r="H872" i="23"/>
  <c r="I872" i="23" s="1"/>
  <c r="J872" i="23" s="1"/>
  <c r="G872" i="23"/>
  <c r="K872" i="23" s="1"/>
  <c r="J871" i="23"/>
  <c r="I871" i="23"/>
  <c r="H871" i="23"/>
  <c r="G871" i="23"/>
  <c r="F870" i="23"/>
  <c r="H870" i="23" s="1"/>
  <c r="I870" i="23" s="1"/>
  <c r="J870" i="23" s="1"/>
  <c r="E870" i="23"/>
  <c r="H869" i="23"/>
  <c r="I869" i="23" s="1"/>
  <c r="J869" i="23" s="1"/>
  <c r="G869" i="23"/>
  <c r="H868" i="23"/>
  <c r="I868" i="23" s="1"/>
  <c r="G868" i="23"/>
  <c r="K868" i="23" s="1"/>
  <c r="F867" i="23"/>
  <c r="E867" i="23"/>
  <c r="H865" i="23"/>
  <c r="I865" i="23" s="1"/>
  <c r="G865" i="23"/>
  <c r="J864" i="23"/>
  <c r="I864" i="23"/>
  <c r="H864" i="23"/>
  <c r="G864" i="23"/>
  <c r="F863" i="23"/>
  <c r="F862" i="23" s="1"/>
  <c r="E863" i="23"/>
  <c r="H861" i="23"/>
  <c r="G861" i="23"/>
  <c r="K861" i="23" s="1"/>
  <c r="J860" i="23"/>
  <c r="I860" i="23"/>
  <c r="H860" i="23"/>
  <c r="G860" i="23"/>
  <c r="F859" i="23"/>
  <c r="F857" i="23" s="1"/>
  <c r="H857" i="23" s="1"/>
  <c r="E859" i="23"/>
  <c r="J858" i="23"/>
  <c r="I858" i="23"/>
  <c r="H858" i="23"/>
  <c r="G858" i="23"/>
  <c r="L858" i="23" s="1"/>
  <c r="J855" i="23"/>
  <c r="I855" i="23"/>
  <c r="H855" i="23"/>
  <c r="G855" i="23"/>
  <c r="L855" i="23" s="1"/>
  <c r="F854" i="23"/>
  <c r="E854" i="23"/>
  <c r="E853" i="23" s="1"/>
  <c r="H852" i="23"/>
  <c r="G852" i="23"/>
  <c r="K852" i="23" s="1"/>
  <c r="J851" i="23"/>
  <c r="I851" i="23"/>
  <c r="H851" i="23"/>
  <c r="H850" i="23" s="1"/>
  <c r="G851" i="23"/>
  <c r="F850" i="23"/>
  <c r="E850" i="23"/>
  <c r="L849" i="23"/>
  <c r="H849" i="23"/>
  <c r="I849" i="23" s="1"/>
  <c r="G849" i="23"/>
  <c r="K849" i="23" s="1"/>
  <c r="J848" i="23"/>
  <c r="I848" i="23"/>
  <c r="H848" i="23"/>
  <c r="G848" i="23"/>
  <c r="L848" i="23" s="1"/>
  <c r="F847" i="23"/>
  <c r="E847" i="23"/>
  <c r="H846" i="23"/>
  <c r="I846" i="23" s="1"/>
  <c r="J846" i="23" s="1"/>
  <c r="G846" i="23"/>
  <c r="J845" i="23"/>
  <c r="I845" i="23"/>
  <c r="H845" i="23"/>
  <c r="G845" i="23"/>
  <c r="K845" i="23" s="1"/>
  <c r="F844" i="23"/>
  <c r="E844" i="23"/>
  <c r="J843" i="23"/>
  <c r="I843" i="23"/>
  <c r="H843" i="23"/>
  <c r="G843" i="23"/>
  <c r="K843" i="23" s="1"/>
  <c r="F842" i="23"/>
  <c r="H842" i="23" s="1"/>
  <c r="E842" i="23"/>
  <c r="H840" i="23"/>
  <c r="I840" i="23" s="1"/>
  <c r="J840" i="23" s="1"/>
  <c r="G840" i="23"/>
  <c r="J839" i="23"/>
  <c r="I839" i="23"/>
  <c r="H839" i="23"/>
  <c r="H838" i="23" s="1"/>
  <c r="G839" i="23"/>
  <c r="F838" i="23"/>
  <c r="E838" i="23"/>
  <c r="H837" i="23"/>
  <c r="I837" i="23" s="1"/>
  <c r="J837" i="23" s="1"/>
  <c r="G837" i="23"/>
  <c r="Q837" i="23" s="1"/>
  <c r="G836" i="23"/>
  <c r="F835" i="23"/>
  <c r="E835" i="23"/>
  <c r="F833" i="23"/>
  <c r="E833" i="23"/>
  <c r="G826" i="23"/>
  <c r="G825" i="23" s="1"/>
  <c r="L825" i="23" s="1"/>
  <c r="J825" i="23"/>
  <c r="I825" i="23"/>
  <c r="H825" i="23"/>
  <c r="F825" i="23"/>
  <c r="E825" i="23"/>
  <c r="G824" i="23"/>
  <c r="G823" i="23"/>
  <c r="J822" i="23"/>
  <c r="I822" i="23"/>
  <c r="H822" i="23"/>
  <c r="F822" i="23"/>
  <c r="E822" i="23"/>
  <c r="F820" i="23"/>
  <c r="E820" i="23"/>
  <c r="E767" i="23" s="1"/>
  <c r="G819" i="23"/>
  <c r="L819" i="23" s="1"/>
  <c r="G818" i="23"/>
  <c r="F817" i="23"/>
  <c r="E817" i="23"/>
  <c r="G816" i="23"/>
  <c r="G815" i="23"/>
  <c r="L815" i="23" s="1"/>
  <c r="G814" i="23"/>
  <c r="L814" i="23" s="1"/>
  <c r="G813" i="23"/>
  <c r="Q812" i="23"/>
  <c r="L812" i="23"/>
  <c r="K812" i="23"/>
  <c r="F811" i="23"/>
  <c r="E811" i="23"/>
  <c r="Q810" i="23"/>
  <c r="L810" i="23"/>
  <c r="K810" i="23"/>
  <c r="G808" i="23"/>
  <c r="L808" i="23" s="1"/>
  <c r="G807" i="23"/>
  <c r="Q807" i="23" s="1"/>
  <c r="G806" i="23"/>
  <c r="L806" i="23" s="1"/>
  <c r="Q805" i="23"/>
  <c r="L805" i="23"/>
  <c r="K805" i="23"/>
  <c r="F804" i="23"/>
  <c r="E804" i="23"/>
  <c r="Q803" i="23"/>
  <c r="L803" i="23"/>
  <c r="K803" i="23"/>
  <c r="E802" i="23"/>
  <c r="L801" i="23"/>
  <c r="G801" i="23"/>
  <c r="L800" i="23"/>
  <c r="G800" i="23"/>
  <c r="L799" i="23"/>
  <c r="G799" i="23"/>
  <c r="K799" i="23" s="1"/>
  <c r="F798" i="23"/>
  <c r="E798" i="23"/>
  <c r="G797" i="23"/>
  <c r="G796" i="23"/>
  <c r="G795" i="23"/>
  <c r="F794" i="23"/>
  <c r="E794" i="23"/>
  <c r="G793" i="23"/>
  <c r="G791" i="23"/>
  <c r="L791" i="23" s="1"/>
  <c r="H790" i="23"/>
  <c r="G790" i="23"/>
  <c r="F789" i="23"/>
  <c r="E789" i="23"/>
  <c r="H788" i="23"/>
  <c r="G788" i="23"/>
  <c r="H787" i="23"/>
  <c r="I787" i="23" s="1"/>
  <c r="J787" i="23" s="1"/>
  <c r="G787" i="23"/>
  <c r="F786" i="23"/>
  <c r="E786" i="23"/>
  <c r="H785" i="23"/>
  <c r="I785" i="23" s="1"/>
  <c r="J785" i="23" s="1"/>
  <c r="J784" i="23" s="1"/>
  <c r="G785" i="23"/>
  <c r="K785" i="23" s="1"/>
  <c r="F784" i="23"/>
  <c r="E784" i="23"/>
  <c r="H783" i="23"/>
  <c r="I783" i="23" s="1"/>
  <c r="J783" i="23" s="1"/>
  <c r="G783" i="23"/>
  <c r="K783" i="23" s="1"/>
  <c r="H782" i="23"/>
  <c r="G782" i="23"/>
  <c r="L782" i="23" s="1"/>
  <c r="F781" i="23"/>
  <c r="E781" i="23"/>
  <c r="H780" i="23"/>
  <c r="G780" i="23"/>
  <c r="H779" i="23"/>
  <c r="I779" i="23" s="1"/>
  <c r="J779" i="23" s="1"/>
  <c r="G779" i="23"/>
  <c r="K779" i="23" s="1"/>
  <c r="F778" i="23"/>
  <c r="E778" i="23"/>
  <c r="J777" i="23"/>
  <c r="I777" i="23"/>
  <c r="H777" i="23"/>
  <c r="G777" i="23"/>
  <c r="K777" i="23" s="1"/>
  <c r="H776" i="23"/>
  <c r="G776" i="23"/>
  <c r="F775" i="23"/>
  <c r="E775" i="23"/>
  <c r="H774" i="23"/>
  <c r="I774" i="23" s="1"/>
  <c r="G774" i="23"/>
  <c r="H773" i="23"/>
  <c r="I773" i="23" s="1"/>
  <c r="J773" i="23" s="1"/>
  <c r="G773" i="23"/>
  <c r="F772" i="23"/>
  <c r="E772" i="23"/>
  <c r="J771" i="23"/>
  <c r="I771" i="23"/>
  <c r="H771" i="23"/>
  <c r="G771" i="23"/>
  <c r="J770" i="23"/>
  <c r="I770" i="23"/>
  <c r="I769" i="23" s="1"/>
  <c r="H770" i="23"/>
  <c r="G770" i="23"/>
  <c r="L770" i="23" s="1"/>
  <c r="F769" i="23"/>
  <c r="E769" i="23"/>
  <c r="G764" i="23"/>
  <c r="J763" i="23"/>
  <c r="I763" i="23"/>
  <c r="H763" i="23"/>
  <c r="F763" i="23"/>
  <c r="E763" i="23"/>
  <c r="H762" i="23"/>
  <c r="G762" i="23"/>
  <c r="H761" i="23"/>
  <c r="I761" i="23" s="1"/>
  <c r="G761" i="23"/>
  <c r="H760" i="23"/>
  <c r="I760" i="23" s="1"/>
  <c r="J760" i="23" s="1"/>
  <c r="G760" i="23"/>
  <c r="F759" i="23"/>
  <c r="E759" i="23"/>
  <c r="H758" i="23"/>
  <c r="I758" i="23" s="1"/>
  <c r="J758" i="23" s="1"/>
  <c r="G758" i="23"/>
  <c r="H757" i="23"/>
  <c r="G757" i="23"/>
  <c r="K757" i="23" s="1"/>
  <c r="H756" i="23"/>
  <c r="I756" i="23" s="1"/>
  <c r="J756" i="23" s="1"/>
  <c r="G756" i="23"/>
  <c r="K756" i="23" s="1"/>
  <c r="F755" i="23"/>
  <c r="H754" i="23"/>
  <c r="G754" i="23"/>
  <c r="K754" i="23" s="1"/>
  <c r="H753" i="23"/>
  <c r="I753" i="23" s="1"/>
  <c r="G753" i="23"/>
  <c r="L753" i="23" s="1"/>
  <c r="H752" i="23"/>
  <c r="I752" i="23" s="1"/>
  <c r="J752" i="23" s="1"/>
  <c r="G752" i="23"/>
  <c r="L752" i="23" s="1"/>
  <c r="F751" i="23"/>
  <c r="F750" i="23"/>
  <c r="E750" i="23"/>
  <c r="G749" i="23"/>
  <c r="J748" i="23"/>
  <c r="I748" i="23"/>
  <c r="H748" i="23"/>
  <c r="G748" i="23"/>
  <c r="J747" i="23"/>
  <c r="I747" i="23"/>
  <c r="H747" i="23"/>
  <c r="G747" i="23"/>
  <c r="Q747" i="23" s="1"/>
  <c r="J746" i="23"/>
  <c r="I746" i="23"/>
  <c r="H746" i="23"/>
  <c r="G746" i="23"/>
  <c r="Q745" i="23"/>
  <c r="L745" i="23"/>
  <c r="K745" i="23"/>
  <c r="H745" i="23"/>
  <c r="I745" i="23" s="1"/>
  <c r="J745" i="23" s="1"/>
  <c r="G743" i="23"/>
  <c r="Q743" i="23" s="1"/>
  <c r="G742" i="23"/>
  <c r="K742" i="23" s="1"/>
  <c r="J741" i="23"/>
  <c r="I741" i="23"/>
  <c r="H741" i="23"/>
  <c r="F741" i="23"/>
  <c r="E741" i="23"/>
  <c r="H740" i="23"/>
  <c r="I740" i="23" s="1"/>
  <c r="E740" i="23"/>
  <c r="J739" i="23"/>
  <c r="I739" i="23"/>
  <c r="H739" i="23"/>
  <c r="E739" i="23"/>
  <c r="F738" i="23"/>
  <c r="H737" i="23"/>
  <c r="I737" i="23" s="1"/>
  <c r="J737" i="23" s="1"/>
  <c r="G737" i="23"/>
  <c r="K737" i="23" s="1"/>
  <c r="F736" i="23"/>
  <c r="H736" i="23" s="1"/>
  <c r="E736" i="23"/>
  <c r="H734" i="23"/>
  <c r="I734" i="23" s="1"/>
  <c r="J734" i="23" s="1"/>
  <c r="G734" i="23"/>
  <c r="G733" i="23"/>
  <c r="K733" i="23" s="1"/>
  <c r="G732" i="23"/>
  <c r="H729" i="23"/>
  <c r="I729" i="23" s="1"/>
  <c r="J729" i="23" s="1"/>
  <c r="G729" i="23"/>
  <c r="K729" i="23" s="1"/>
  <c r="F728" i="23"/>
  <c r="E728" i="23"/>
  <c r="E727" i="23" s="1"/>
  <c r="H726" i="23"/>
  <c r="I726" i="23" s="1"/>
  <c r="J726" i="23" s="1"/>
  <c r="G726" i="23"/>
  <c r="G725" i="23"/>
  <c r="Q725" i="23" s="1"/>
  <c r="G724" i="23"/>
  <c r="F721" i="23"/>
  <c r="F709" i="23" s="1"/>
  <c r="F720" i="23"/>
  <c r="H718" i="23"/>
  <c r="I718" i="23" s="1"/>
  <c r="J718" i="23" s="1"/>
  <c r="G718" i="23"/>
  <c r="K718" i="23" s="1"/>
  <c r="E717" i="23"/>
  <c r="G717" i="23" s="1"/>
  <c r="G716" i="23"/>
  <c r="K716" i="23" s="1"/>
  <c r="N715" i="23"/>
  <c r="G715" i="23"/>
  <c r="Q715" i="23" s="1"/>
  <c r="G714" i="23"/>
  <c r="N713" i="23"/>
  <c r="G713" i="23"/>
  <c r="E720" i="23"/>
  <c r="G704" i="23"/>
  <c r="K704" i="23" s="1"/>
  <c r="J703" i="23"/>
  <c r="I703" i="23"/>
  <c r="H703" i="23"/>
  <c r="F703" i="23"/>
  <c r="E703" i="23"/>
  <c r="H702" i="23"/>
  <c r="I702" i="23" s="1"/>
  <c r="J702" i="23" s="1"/>
  <c r="G702" i="23"/>
  <c r="H701" i="23"/>
  <c r="I701" i="23" s="1"/>
  <c r="G701" i="23"/>
  <c r="F700" i="23"/>
  <c r="E700" i="23"/>
  <c r="G699" i="23"/>
  <c r="K699" i="23" s="1"/>
  <c r="H698" i="23"/>
  <c r="I698" i="23" s="1"/>
  <c r="J698" i="23" s="1"/>
  <c r="J697" i="23" s="1"/>
  <c r="G698" i="23"/>
  <c r="K698" i="23" s="1"/>
  <c r="F697" i="23"/>
  <c r="E697" i="23"/>
  <c r="H696" i="23"/>
  <c r="I696" i="23" s="1"/>
  <c r="J696" i="23" s="1"/>
  <c r="G696" i="23"/>
  <c r="H695" i="23"/>
  <c r="I695" i="23" s="1"/>
  <c r="J695" i="23" s="1"/>
  <c r="G695" i="23"/>
  <c r="F694" i="23"/>
  <c r="H694" i="23" s="1"/>
  <c r="I694" i="23" s="1"/>
  <c r="J694" i="23" s="1"/>
  <c r="E694" i="23"/>
  <c r="H692" i="23"/>
  <c r="I692" i="23" s="1"/>
  <c r="J692" i="23" s="1"/>
  <c r="G692" i="23"/>
  <c r="Q691" i="23"/>
  <c r="L691" i="23"/>
  <c r="K691" i="23"/>
  <c r="H691" i="23"/>
  <c r="I691" i="23" s="1"/>
  <c r="J691" i="23" s="1"/>
  <c r="H690" i="23"/>
  <c r="G690" i="23"/>
  <c r="Q690" i="23" s="1"/>
  <c r="J689" i="23"/>
  <c r="I689" i="23"/>
  <c r="H689" i="23"/>
  <c r="G689" i="23"/>
  <c r="F688" i="23"/>
  <c r="F687" i="23" s="1"/>
  <c r="E688" i="23"/>
  <c r="F686" i="23"/>
  <c r="E686" i="23"/>
  <c r="F685" i="23"/>
  <c r="E685" i="23"/>
  <c r="G682" i="23"/>
  <c r="J681" i="23"/>
  <c r="J677" i="23" s="1"/>
  <c r="I681" i="23"/>
  <c r="I680" i="23" s="1"/>
  <c r="I679" i="23" s="1"/>
  <c r="H681" i="23"/>
  <c r="G681" i="23"/>
  <c r="F680" i="23"/>
  <c r="F679" i="23" s="1"/>
  <c r="E680" i="23"/>
  <c r="E679" i="23" s="1"/>
  <c r="J678" i="23"/>
  <c r="I678" i="23"/>
  <c r="H678" i="23"/>
  <c r="F678" i="23"/>
  <c r="E678" i="23"/>
  <c r="F677" i="23"/>
  <c r="E677" i="23"/>
  <c r="Q676" i="23"/>
  <c r="L676" i="23"/>
  <c r="K676" i="23"/>
  <c r="J673" i="23"/>
  <c r="J671" i="23" s="1"/>
  <c r="I673" i="23"/>
  <c r="I671" i="23" s="1"/>
  <c r="H673" i="23"/>
  <c r="H671" i="23" s="1"/>
  <c r="G673" i="23"/>
  <c r="K673" i="23" s="1"/>
  <c r="J672" i="23"/>
  <c r="I672" i="23"/>
  <c r="H672" i="23"/>
  <c r="G672" i="23"/>
  <c r="F671" i="23"/>
  <c r="E671" i="23"/>
  <c r="J670" i="23"/>
  <c r="J665" i="23" s="1"/>
  <c r="J663" i="23" s="1"/>
  <c r="I670" i="23"/>
  <c r="I665" i="23" s="1"/>
  <c r="I663" i="23" s="1"/>
  <c r="H670" i="23"/>
  <c r="H665" i="23" s="1"/>
  <c r="H663" i="23" s="1"/>
  <c r="G670" i="23"/>
  <c r="G669" i="23"/>
  <c r="Q669" i="23" s="1"/>
  <c r="G668" i="23"/>
  <c r="G667" i="23"/>
  <c r="Q667" i="23" s="1"/>
  <c r="F666" i="23"/>
  <c r="E666" i="23"/>
  <c r="Q664" i="23"/>
  <c r="L664" i="23"/>
  <c r="K664" i="23"/>
  <c r="Q662" i="23"/>
  <c r="L662" i="23"/>
  <c r="K662" i="23"/>
  <c r="H662" i="23"/>
  <c r="H661" i="23"/>
  <c r="I661" i="23" s="1"/>
  <c r="J661" i="23" s="1"/>
  <c r="G661" i="23"/>
  <c r="L661" i="23" s="1"/>
  <c r="F660" i="23"/>
  <c r="E660" i="23"/>
  <c r="H659" i="23"/>
  <c r="G659" i="23"/>
  <c r="J658" i="23"/>
  <c r="I658" i="23"/>
  <c r="H658" i="23"/>
  <c r="G658" i="23"/>
  <c r="K658" i="23" s="1"/>
  <c r="F657" i="23"/>
  <c r="E657" i="23"/>
  <c r="Q656" i="23"/>
  <c r="L656" i="23"/>
  <c r="K656" i="23"/>
  <c r="H656" i="23"/>
  <c r="I656" i="23" s="1"/>
  <c r="J655" i="23"/>
  <c r="I655" i="23"/>
  <c r="H655" i="23"/>
  <c r="G655" i="23"/>
  <c r="G654" i="23"/>
  <c r="Q654" i="23" s="1"/>
  <c r="G653" i="23"/>
  <c r="Q653" i="23" s="1"/>
  <c r="F652" i="23"/>
  <c r="E652" i="23"/>
  <c r="F651" i="23"/>
  <c r="E651" i="23"/>
  <c r="F650" i="23"/>
  <c r="E650" i="23"/>
  <c r="G647" i="23"/>
  <c r="K647" i="23" s="1"/>
  <c r="G646" i="23"/>
  <c r="K646" i="23" s="1"/>
  <c r="J645" i="23"/>
  <c r="I645" i="23"/>
  <c r="H645" i="23"/>
  <c r="F645" i="23"/>
  <c r="E645" i="23"/>
  <c r="Q644" i="23"/>
  <c r="L644" i="23"/>
  <c r="K644" i="23"/>
  <c r="G643" i="23"/>
  <c r="K643" i="23" s="1"/>
  <c r="E642" i="23"/>
  <c r="G641" i="23"/>
  <c r="F640" i="23"/>
  <c r="G639" i="23"/>
  <c r="Q639" i="23" s="1"/>
  <c r="E638" i="23"/>
  <c r="G638" i="23" s="1"/>
  <c r="G637" i="23"/>
  <c r="K637" i="23" s="1"/>
  <c r="G635" i="23"/>
  <c r="G634" i="23"/>
  <c r="K634" i="23" s="1"/>
  <c r="Q630" i="23"/>
  <c r="L630" i="23"/>
  <c r="K630" i="23"/>
  <c r="J629" i="23"/>
  <c r="I629" i="23"/>
  <c r="H629" i="23"/>
  <c r="G628" i="23"/>
  <c r="G627" i="23"/>
  <c r="L627" i="23" s="1"/>
  <c r="G626" i="23"/>
  <c r="K626" i="23" s="1"/>
  <c r="G625" i="23"/>
  <c r="Q625" i="23" s="1"/>
  <c r="O624" i="23"/>
  <c r="P624" i="23" s="1"/>
  <c r="P625" i="23" s="1"/>
  <c r="J624" i="23"/>
  <c r="J623" i="23" s="1"/>
  <c r="I624" i="23"/>
  <c r="I623" i="23" s="1"/>
  <c r="H624" i="23"/>
  <c r="H623" i="23" s="1"/>
  <c r="Q622" i="23"/>
  <c r="L622" i="23"/>
  <c r="K622" i="23"/>
  <c r="H622" i="23"/>
  <c r="I622" i="23" s="1"/>
  <c r="J622" i="23" s="1"/>
  <c r="N617" i="23"/>
  <c r="N619" i="23" s="1"/>
  <c r="Q615" i="23"/>
  <c r="L615" i="23"/>
  <c r="K615" i="23"/>
  <c r="Q613" i="23"/>
  <c r="L613" i="23"/>
  <c r="K613" i="23"/>
  <c r="Q612" i="23"/>
  <c r="L612" i="23"/>
  <c r="K612" i="23"/>
  <c r="G611" i="23"/>
  <c r="Q611" i="23" s="1"/>
  <c r="G610" i="23"/>
  <c r="G609" i="23"/>
  <c r="G299" i="23" s="1"/>
  <c r="F608" i="23"/>
  <c r="E608" i="23"/>
  <c r="G607" i="23"/>
  <c r="L607" i="23" s="1"/>
  <c r="G606" i="23"/>
  <c r="L606" i="23" s="1"/>
  <c r="F605" i="23"/>
  <c r="E605" i="23"/>
  <c r="G604" i="23"/>
  <c r="G603" i="23"/>
  <c r="Q603" i="23" s="1"/>
  <c r="G602" i="23"/>
  <c r="F601" i="23"/>
  <c r="E601" i="23"/>
  <c r="G600" i="23"/>
  <c r="G290" i="23" s="1"/>
  <c r="L290" i="23" s="1"/>
  <c r="G599" i="23"/>
  <c r="L599" i="23" s="1"/>
  <c r="G598" i="23"/>
  <c r="L598" i="23" s="1"/>
  <c r="F597" i="23"/>
  <c r="E597" i="23"/>
  <c r="G596" i="23"/>
  <c r="G595" i="23"/>
  <c r="Q595" i="23" s="1"/>
  <c r="G594" i="23"/>
  <c r="F593" i="23"/>
  <c r="E593" i="23"/>
  <c r="G592" i="23"/>
  <c r="G282" i="23" s="1"/>
  <c r="L282" i="23" s="1"/>
  <c r="G591" i="23"/>
  <c r="G590" i="23"/>
  <c r="F589" i="23"/>
  <c r="E589" i="23"/>
  <c r="G588" i="23"/>
  <c r="Q588" i="23" s="1"/>
  <c r="G587" i="23"/>
  <c r="G586" i="23"/>
  <c r="Q586" i="23" s="1"/>
  <c r="F585" i="23"/>
  <c r="E585" i="23"/>
  <c r="G584" i="23"/>
  <c r="Q584" i="23" s="1"/>
  <c r="G583" i="23"/>
  <c r="G273" i="23" s="1"/>
  <c r="G582" i="23"/>
  <c r="F581" i="23"/>
  <c r="E581" i="23"/>
  <c r="G580" i="23"/>
  <c r="G270" i="23" s="1"/>
  <c r="L270" i="23" s="1"/>
  <c r="G579" i="23"/>
  <c r="G578" i="23"/>
  <c r="F577" i="23"/>
  <c r="E577" i="23"/>
  <c r="G575" i="23"/>
  <c r="L575" i="23" s="1"/>
  <c r="F574" i="23"/>
  <c r="E574" i="23"/>
  <c r="G573" i="23"/>
  <c r="Q573" i="23" s="1"/>
  <c r="G572" i="23"/>
  <c r="Q572" i="23" s="1"/>
  <c r="G571" i="23"/>
  <c r="J570" i="23"/>
  <c r="I570" i="23"/>
  <c r="H570" i="23"/>
  <c r="F570" i="23"/>
  <c r="E570" i="23"/>
  <c r="G569" i="23"/>
  <c r="K569" i="23" s="1"/>
  <c r="G568" i="23"/>
  <c r="G567" i="23"/>
  <c r="J566" i="23"/>
  <c r="I566" i="23"/>
  <c r="H566" i="23"/>
  <c r="F566" i="23"/>
  <c r="E566" i="23"/>
  <c r="G565" i="23"/>
  <c r="G564" i="23"/>
  <c r="L564" i="23" s="1"/>
  <c r="G563" i="23"/>
  <c r="J562" i="23"/>
  <c r="I562" i="23"/>
  <c r="H562" i="23"/>
  <c r="F562" i="23"/>
  <c r="E562" i="23"/>
  <c r="G561" i="23"/>
  <c r="L561" i="23" s="1"/>
  <c r="G560" i="23"/>
  <c r="G250" i="23" s="1"/>
  <c r="L250" i="23" s="1"/>
  <c r="G559" i="23"/>
  <c r="J558" i="23"/>
  <c r="I558" i="23"/>
  <c r="H558" i="23"/>
  <c r="F558" i="23"/>
  <c r="E558" i="23"/>
  <c r="G557" i="23"/>
  <c r="Q557" i="23" s="1"/>
  <c r="G556" i="23"/>
  <c r="G246" i="23" s="1"/>
  <c r="L246" i="23" s="1"/>
  <c r="G555" i="23"/>
  <c r="Q555" i="23" s="1"/>
  <c r="G554" i="23"/>
  <c r="J553" i="23"/>
  <c r="I553" i="23"/>
  <c r="H553" i="23"/>
  <c r="F553" i="23"/>
  <c r="E553" i="23"/>
  <c r="G552" i="23"/>
  <c r="G551" i="23"/>
  <c r="G241" i="23" s="1"/>
  <c r="G550" i="23"/>
  <c r="J549" i="23"/>
  <c r="I549" i="23"/>
  <c r="H549" i="23"/>
  <c r="F549" i="23"/>
  <c r="E549" i="23"/>
  <c r="G548" i="23"/>
  <c r="G547" i="23"/>
  <c r="G546" i="23"/>
  <c r="J545" i="23"/>
  <c r="I545" i="23"/>
  <c r="H545" i="23"/>
  <c r="F545" i="23"/>
  <c r="E545" i="23"/>
  <c r="G544" i="23"/>
  <c r="K544" i="23" s="1"/>
  <c r="G543" i="23"/>
  <c r="G233" i="23" s="1"/>
  <c r="G542" i="23"/>
  <c r="J541" i="23"/>
  <c r="I541" i="23"/>
  <c r="H541" i="23"/>
  <c r="F541" i="23"/>
  <c r="E541" i="23"/>
  <c r="G540" i="23"/>
  <c r="Q540" i="23" s="1"/>
  <c r="G539" i="23"/>
  <c r="G538" i="23"/>
  <c r="Q538" i="23" s="1"/>
  <c r="J537" i="23"/>
  <c r="I537" i="23"/>
  <c r="H537" i="23"/>
  <c r="F537" i="23"/>
  <c r="E537" i="23"/>
  <c r="G536" i="23"/>
  <c r="G535" i="23"/>
  <c r="G225" i="23" s="1"/>
  <c r="L225" i="23" s="1"/>
  <c r="G534" i="23"/>
  <c r="K534" i="23" s="1"/>
  <c r="G533" i="23"/>
  <c r="J532" i="23"/>
  <c r="I532" i="23"/>
  <c r="H532" i="23"/>
  <c r="F532" i="23"/>
  <c r="E532" i="23"/>
  <c r="G531" i="23"/>
  <c r="G530" i="23"/>
  <c r="Q530" i="23" s="1"/>
  <c r="G529" i="23"/>
  <c r="Q529" i="23" s="1"/>
  <c r="G528" i="23"/>
  <c r="J527" i="23"/>
  <c r="I527" i="23"/>
  <c r="H527" i="23"/>
  <c r="F527" i="23"/>
  <c r="E527" i="23"/>
  <c r="J525" i="23"/>
  <c r="I525" i="23"/>
  <c r="H525" i="23"/>
  <c r="G525" i="23"/>
  <c r="L525" i="23" s="1"/>
  <c r="J520" i="23"/>
  <c r="I520" i="23"/>
  <c r="I519" i="23" s="1"/>
  <c r="H520" i="23"/>
  <c r="G520" i="23"/>
  <c r="G518" i="23"/>
  <c r="K518" i="23" s="1"/>
  <c r="F517" i="23"/>
  <c r="E517" i="23"/>
  <c r="G515" i="23"/>
  <c r="L515" i="23" s="1"/>
  <c r="F513" i="23"/>
  <c r="G512" i="23"/>
  <c r="K512" i="23" s="1"/>
  <c r="G511" i="23"/>
  <c r="G197" i="23" s="1"/>
  <c r="G510" i="23"/>
  <c r="G196" i="23" s="1"/>
  <c r="L196" i="23" s="1"/>
  <c r="G509" i="23"/>
  <c r="G195" i="23" s="1"/>
  <c r="L195" i="23" s="1"/>
  <c r="J508" i="23"/>
  <c r="I508" i="23"/>
  <c r="H508" i="23"/>
  <c r="F508" i="23"/>
  <c r="E508" i="23"/>
  <c r="G507" i="23"/>
  <c r="Q507" i="23" s="1"/>
  <c r="G506" i="23"/>
  <c r="G191" i="23" s="1"/>
  <c r="L191" i="23" s="1"/>
  <c r="G505" i="23"/>
  <c r="Q505" i="23" s="1"/>
  <c r="G504" i="23"/>
  <c r="G170" i="23" s="1"/>
  <c r="L170" i="23" s="1"/>
  <c r="L503" i="23"/>
  <c r="G503" i="23"/>
  <c r="Q503" i="23" s="1"/>
  <c r="L502" i="23"/>
  <c r="F502" i="23"/>
  <c r="E502" i="23"/>
  <c r="G501" i="23"/>
  <c r="G500" i="23"/>
  <c r="G499" i="23"/>
  <c r="K499" i="23" s="1"/>
  <c r="G498" i="23"/>
  <c r="K498" i="23" s="1"/>
  <c r="J497" i="23"/>
  <c r="I497" i="23"/>
  <c r="H497" i="23"/>
  <c r="F497" i="23"/>
  <c r="E497" i="23"/>
  <c r="G496" i="23"/>
  <c r="G164" i="23" s="1"/>
  <c r="L164" i="23" s="1"/>
  <c r="G495" i="23"/>
  <c r="G494" i="23"/>
  <c r="Q494" i="23" s="1"/>
  <c r="G493" i="23"/>
  <c r="G161" i="23" s="1"/>
  <c r="J492" i="23"/>
  <c r="I492" i="23"/>
  <c r="H492" i="23"/>
  <c r="F492" i="23"/>
  <c r="E492" i="23"/>
  <c r="G491" i="23"/>
  <c r="K491" i="23" s="1"/>
  <c r="G490" i="23"/>
  <c r="G489" i="23"/>
  <c r="G157" i="23" s="1"/>
  <c r="L157" i="23" s="1"/>
  <c r="G488" i="23"/>
  <c r="G156" i="23" s="1"/>
  <c r="L156" i="23" s="1"/>
  <c r="G487" i="23"/>
  <c r="G486" i="23"/>
  <c r="G485" i="23"/>
  <c r="K485" i="23" s="1"/>
  <c r="G484" i="23"/>
  <c r="J483" i="23"/>
  <c r="I483" i="23"/>
  <c r="H483" i="23"/>
  <c r="F483" i="23"/>
  <c r="E483" i="23"/>
  <c r="G482" i="23"/>
  <c r="G481" i="23"/>
  <c r="L481" i="23" s="1"/>
  <c r="G480" i="23"/>
  <c r="G148" i="23" s="1"/>
  <c r="L148" i="23" s="1"/>
  <c r="G479" i="23"/>
  <c r="G478" i="23"/>
  <c r="K478" i="23" s="1"/>
  <c r="G477" i="23"/>
  <c r="G472" i="23"/>
  <c r="G139" i="23" s="1"/>
  <c r="L139" i="23" s="1"/>
  <c r="G471" i="23"/>
  <c r="L471" i="23" s="1"/>
  <c r="G470" i="23"/>
  <c r="J469" i="23"/>
  <c r="J468" i="23" s="1"/>
  <c r="I469" i="23"/>
  <c r="H469" i="23"/>
  <c r="H468" i="23" s="1"/>
  <c r="F469" i="23"/>
  <c r="F468" i="23" s="1"/>
  <c r="E469" i="23"/>
  <c r="I468" i="23"/>
  <c r="G467" i="23"/>
  <c r="G130" i="23" s="1"/>
  <c r="L130" i="23" s="1"/>
  <c r="J466" i="23"/>
  <c r="J129" i="23" s="1"/>
  <c r="I466" i="23"/>
  <c r="I129" i="23" s="1"/>
  <c r="H466" i="23"/>
  <c r="H129" i="23" s="1"/>
  <c r="G466" i="23"/>
  <c r="G129" i="23" s="1"/>
  <c r="L129" i="23" s="1"/>
  <c r="J465" i="23"/>
  <c r="J128" i="23" s="1"/>
  <c r="I465" i="23"/>
  <c r="I128" i="23" s="1"/>
  <c r="H465" i="23"/>
  <c r="H128" i="23" s="1"/>
  <c r="G465" i="23"/>
  <c r="J464" i="23"/>
  <c r="J462" i="23" s="1"/>
  <c r="J461" i="23" s="1"/>
  <c r="I464" i="23"/>
  <c r="I127" i="23" s="1"/>
  <c r="H464" i="23"/>
  <c r="H127" i="23" s="1"/>
  <c r="G464" i="23"/>
  <c r="K464" i="23" s="1"/>
  <c r="G463" i="23"/>
  <c r="L463" i="23" s="1"/>
  <c r="F462" i="23"/>
  <c r="F461" i="23" s="1"/>
  <c r="E462" i="23"/>
  <c r="G460" i="23"/>
  <c r="K460" i="23" s="1"/>
  <c r="G459" i="23"/>
  <c r="J458" i="23"/>
  <c r="I458" i="23"/>
  <c r="H458" i="23"/>
  <c r="F458" i="23"/>
  <c r="E458" i="23"/>
  <c r="G457" i="23"/>
  <c r="G116" i="23" s="1"/>
  <c r="L116" i="23" s="1"/>
  <c r="G456" i="23"/>
  <c r="G114" i="23" s="1"/>
  <c r="L114" i="23" s="1"/>
  <c r="J455" i="23"/>
  <c r="I455" i="23"/>
  <c r="H455" i="23"/>
  <c r="F455" i="23"/>
  <c r="E455" i="23"/>
  <c r="G452" i="23"/>
  <c r="J451" i="23"/>
  <c r="J450" i="23" s="1"/>
  <c r="J449" i="23" s="1"/>
  <c r="I451" i="23"/>
  <c r="I450" i="23" s="1"/>
  <c r="I449" i="23" s="1"/>
  <c r="H451" i="23"/>
  <c r="H450" i="23" s="1"/>
  <c r="H449" i="23" s="1"/>
  <c r="F451" i="23"/>
  <c r="F450" i="23" s="1"/>
  <c r="F449" i="23" s="1"/>
  <c r="E451" i="23"/>
  <c r="H445" i="23"/>
  <c r="I445" i="23" s="1"/>
  <c r="G445" i="23"/>
  <c r="G210" i="23" s="1"/>
  <c r="L210" i="23" s="1"/>
  <c r="J444" i="23"/>
  <c r="J209" i="23" s="1"/>
  <c r="I444" i="23"/>
  <c r="I209" i="23" s="1"/>
  <c r="H444" i="23"/>
  <c r="H209" i="23" s="1"/>
  <c r="G444" i="23"/>
  <c r="J443" i="23"/>
  <c r="J208" i="23" s="1"/>
  <c r="I443" i="23"/>
  <c r="I208" i="23" s="1"/>
  <c r="H443" i="23"/>
  <c r="H208" i="23" s="1"/>
  <c r="G443" i="23"/>
  <c r="Q443" i="23" s="1"/>
  <c r="J442" i="23"/>
  <c r="J207" i="23" s="1"/>
  <c r="I442" i="23"/>
  <c r="I207" i="23" s="1"/>
  <c r="H442" i="23"/>
  <c r="G442" i="23"/>
  <c r="Q442" i="23" s="1"/>
  <c r="F441" i="23"/>
  <c r="E441" i="23"/>
  <c r="H440" i="23"/>
  <c r="I440" i="23" s="1"/>
  <c r="J440" i="23" s="1"/>
  <c r="G440" i="23"/>
  <c r="G198" i="23" s="1"/>
  <c r="L198" i="23" s="1"/>
  <c r="G439" i="23"/>
  <c r="G194" i="23" s="1"/>
  <c r="F438" i="23"/>
  <c r="E438" i="23"/>
  <c r="G437" i="23"/>
  <c r="Q437" i="23" s="1"/>
  <c r="F436" i="23"/>
  <c r="E436" i="23"/>
  <c r="H435" i="23"/>
  <c r="I435" i="23" s="1"/>
  <c r="G435" i="23"/>
  <c r="G434" i="23"/>
  <c r="G184" i="23" s="1"/>
  <c r="L184" i="23" s="1"/>
  <c r="J433" i="23"/>
  <c r="J183" i="23" s="1"/>
  <c r="I433" i="23"/>
  <c r="I183" i="23" s="1"/>
  <c r="H433" i="23"/>
  <c r="H183" i="23" s="1"/>
  <c r="G433" i="23"/>
  <c r="H432" i="23"/>
  <c r="G432" i="23"/>
  <c r="Q432" i="23" s="1"/>
  <c r="H431" i="23"/>
  <c r="G431" i="23"/>
  <c r="G181" i="23" s="1"/>
  <c r="L181" i="23" s="1"/>
  <c r="H430" i="23"/>
  <c r="I430" i="23" s="1"/>
  <c r="G430" i="23"/>
  <c r="K430" i="23" s="1"/>
  <c r="H429" i="23"/>
  <c r="I429" i="23" s="1"/>
  <c r="G429" i="23"/>
  <c r="Q429" i="23" s="1"/>
  <c r="H428" i="23"/>
  <c r="I428" i="23" s="1"/>
  <c r="J428" i="23" s="1"/>
  <c r="J178" i="23" s="1"/>
  <c r="G428" i="23"/>
  <c r="H427" i="23"/>
  <c r="I427" i="23" s="1"/>
  <c r="I177" i="23" s="1"/>
  <c r="G427" i="23"/>
  <c r="H426" i="23"/>
  <c r="I426" i="23" s="1"/>
  <c r="J426" i="23" s="1"/>
  <c r="J176" i="23" s="1"/>
  <c r="G426" i="23"/>
  <c r="K426" i="23" s="1"/>
  <c r="H425" i="23"/>
  <c r="I425" i="23" s="1"/>
  <c r="J425" i="23" s="1"/>
  <c r="J175" i="23" s="1"/>
  <c r="G425" i="23"/>
  <c r="H424" i="23"/>
  <c r="I424" i="23" s="1"/>
  <c r="G424" i="23"/>
  <c r="K424" i="23" s="1"/>
  <c r="H423" i="23"/>
  <c r="H173" i="23" s="1"/>
  <c r="G423" i="23"/>
  <c r="G173" i="23" s="1"/>
  <c r="L173" i="23" s="1"/>
  <c r="H422" i="23"/>
  <c r="I422" i="23" s="1"/>
  <c r="J422" i="23" s="1"/>
  <c r="J172" i="23" s="1"/>
  <c r="G422" i="23"/>
  <c r="G172" i="23" s="1"/>
  <c r="H417" i="23"/>
  <c r="G417" i="23"/>
  <c r="G140" i="23" s="1"/>
  <c r="L140" i="23" s="1"/>
  <c r="H416" i="23"/>
  <c r="I416" i="23" s="1"/>
  <c r="I136" i="23" s="1"/>
  <c r="G416" i="23"/>
  <c r="H415" i="23"/>
  <c r="I415" i="23" s="1"/>
  <c r="J415" i="23" s="1"/>
  <c r="J135" i="23" s="1"/>
  <c r="G415" i="23"/>
  <c r="G135" i="23" s="1"/>
  <c r="L135" i="23" s="1"/>
  <c r="H414" i="23"/>
  <c r="G414" i="23"/>
  <c r="K414" i="23" s="1"/>
  <c r="H413" i="23"/>
  <c r="I413" i="23" s="1"/>
  <c r="I133" i="23" s="1"/>
  <c r="G413" i="23"/>
  <c r="Q413" i="23" s="1"/>
  <c r="F412" i="23"/>
  <c r="E412" i="23"/>
  <c r="E411" i="23" s="1"/>
  <c r="J410" i="23"/>
  <c r="J123" i="23" s="1"/>
  <c r="I410" i="23"/>
  <c r="I123" i="23" s="1"/>
  <c r="H410" i="23"/>
  <c r="H123" i="23" s="1"/>
  <c r="G410" i="23"/>
  <c r="G123" i="23" s="1"/>
  <c r="L123" i="23" s="1"/>
  <c r="G409" i="23"/>
  <c r="G120" i="23" s="1"/>
  <c r="L120" i="23" s="1"/>
  <c r="J408" i="23"/>
  <c r="J119" i="23" s="1"/>
  <c r="I408" i="23"/>
  <c r="H408" i="23"/>
  <c r="H119" i="23" s="1"/>
  <c r="G408" i="23"/>
  <c r="K408" i="23" s="1"/>
  <c r="F407" i="23"/>
  <c r="E407" i="23"/>
  <c r="J406" i="23"/>
  <c r="J117" i="23" s="1"/>
  <c r="I406" i="23"/>
  <c r="I117" i="23" s="1"/>
  <c r="H406" i="23"/>
  <c r="H117" i="23" s="1"/>
  <c r="E406" i="23"/>
  <c r="E117" i="23" s="1"/>
  <c r="H405" i="23"/>
  <c r="H115" i="23" s="1"/>
  <c r="G405" i="23"/>
  <c r="H404" i="23"/>
  <c r="I404" i="23" s="1"/>
  <c r="J404" i="23" s="1"/>
  <c r="J113" i="23" s="1"/>
  <c r="G404" i="23"/>
  <c r="Q404" i="23" s="1"/>
  <c r="H403" i="23"/>
  <c r="I403" i="23" s="1"/>
  <c r="J403" i="23" s="1"/>
  <c r="J112" i="23" s="1"/>
  <c r="G403" i="23"/>
  <c r="G112" i="23" s="1"/>
  <c r="L112" i="23" s="1"/>
  <c r="H402" i="23"/>
  <c r="I402" i="23" s="1"/>
  <c r="G402" i="23"/>
  <c r="G111" i="23" s="1"/>
  <c r="L111" i="23" s="1"/>
  <c r="F401" i="23"/>
  <c r="H400" i="23"/>
  <c r="I400" i="23" s="1"/>
  <c r="J400" i="23" s="1"/>
  <c r="J109" i="23" s="1"/>
  <c r="G400" i="23"/>
  <c r="H399" i="23"/>
  <c r="I399" i="23" s="1"/>
  <c r="G399" i="23"/>
  <c r="H398" i="23"/>
  <c r="I398" i="23" s="1"/>
  <c r="I107" i="23" s="1"/>
  <c r="G398" i="23"/>
  <c r="Q398" i="23" s="1"/>
  <c r="J397" i="23"/>
  <c r="J106" i="23" s="1"/>
  <c r="I397" i="23"/>
  <c r="I106" i="23" s="1"/>
  <c r="H397" i="23"/>
  <c r="G397" i="23"/>
  <c r="L397" i="23" s="1"/>
  <c r="F396" i="23"/>
  <c r="E396" i="23"/>
  <c r="H395" i="23"/>
  <c r="H104" i="23" s="1"/>
  <c r="G395" i="23"/>
  <c r="H394" i="23"/>
  <c r="I394" i="23" s="1"/>
  <c r="G394" i="23"/>
  <c r="K394" i="23" s="1"/>
  <c r="F393" i="23"/>
  <c r="E393" i="23"/>
  <c r="H392" i="23"/>
  <c r="I392" i="23" s="1"/>
  <c r="J392" i="23" s="1"/>
  <c r="J101" i="23" s="1"/>
  <c r="G392" i="23"/>
  <c r="G101" i="23" s="1"/>
  <c r="L101" i="23" s="1"/>
  <c r="H391" i="23"/>
  <c r="I391" i="23" s="1"/>
  <c r="J391" i="23" s="1"/>
  <c r="J100" i="23" s="1"/>
  <c r="G391" i="23"/>
  <c r="G100" i="23" s="1"/>
  <c r="L100" i="23" s="1"/>
  <c r="H390" i="23"/>
  <c r="I390" i="23" s="1"/>
  <c r="G390" i="23"/>
  <c r="G99" i="23" s="1"/>
  <c r="L99" i="23" s="1"/>
  <c r="H389" i="23"/>
  <c r="I389" i="23" s="1"/>
  <c r="J389" i="23" s="1"/>
  <c r="J98" i="23" s="1"/>
  <c r="G389" i="23"/>
  <c r="Q389" i="23" s="1"/>
  <c r="H388" i="23"/>
  <c r="I388" i="23" s="1"/>
  <c r="J388" i="23" s="1"/>
  <c r="J97" i="23" s="1"/>
  <c r="G388" i="23"/>
  <c r="G97" i="23" s="1"/>
  <c r="L97" i="23" s="1"/>
  <c r="H387" i="23"/>
  <c r="G387" i="23"/>
  <c r="G96" i="23" s="1"/>
  <c r="J386" i="23"/>
  <c r="J95" i="23" s="1"/>
  <c r="I386" i="23"/>
  <c r="I95" i="23" s="1"/>
  <c r="H386" i="23"/>
  <c r="H95" i="23" s="1"/>
  <c r="G386" i="23"/>
  <c r="K386" i="23" s="1"/>
  <c r="F385" i="23"/>
  <c r="E385" i="23"/>
  <c r="H383" i="23"/>
  <c r="G383" i="23"/>
  <c r="G92" i="23" s="1"/>
  <c r="G91" i="23" s="1"/>
  <c r="L91" i="23" s="1"/>
  <c r="F382" i="23"/>
  <c r="E382" i="23"/>
  <c r="H381" i="23"/>
  <c r="G381" i="23"/>
  <c r="Q381" i="23" s="1"/>
  <c r="H380" i="23"/>
  <c r="H89" i="23" s="1"/>
  <c r="H88" i="23" s="1"/>
  <c r="G380" i="23"/>
  <c r="F379" i="23"/>
  <c r="E379" i="23"/>
  <c r="J378" i="23"/>
  <c r="J87" i="23" s="1"/>
  <c r="I378" i="23"/>
  <c r="I87" i="23" s="1"/>
  <c r="H378" i="23"/>
  <c r="H87" i="23" s="1"/>
  <c r="G378" i="23"/>
  <c r="G87" i="23" s="1"/>
  <c r="L87" i="23" s="1"/>
  <c r="J377" i="23"/>
  <c r="J86" i="23" s="1"/>
  <c r="I377" i="23"/>
  <c r="I86" i="23" s="1"/>
  <c r="H377" i="23"/>
  <c r="H86" i="23" s="1"/>
  <c r="G377" i="23"/>
  <c r="Q377" i="23" s="1"/>
  <c r="J376" i="23"/>
  <c r="J85" i="23" s="1"/>
  <c r="I376" i="23"/>
  <c r="I85" i="23" s="1"/>
  <c r="H376" i="23"/>
  <c r="H85" i="23" s="1"/>
  <c r="E376" i="23"/>
  <c r="E85" i="23" s="1"/>
  <c r="H375" i="23"/>
  <c r="I375" i="23" s="1"/>
  <c r="J375" i="23" s="1"/>
  <c r="J84" i="23" s="1"/>
  <c r="G375" i="23"/>
  <c r="G84" i="23" s="1"/>
  <c r="F374" i="23"/>
  <c r="H371" i="23"/>
  <c r="H80" i="23" s="1"/>
  <c r="H79" i="23" s="1"/>
  <c r="H78" i="23" s="1"/>
  <c r="G371" i="23"/>
  <c r="Q371" i="23" s="1"/>
  <c r="F370" i="23"/>
  <c r="F369" i="23" s="1"/>
  <c r="E370" i="23"/>
  <c r="H368" i="23"/>
  <c r="I368" i="23" s="1"/>
  <c r="G368" i="23"/>
  <c r="Q368" i="23" s="1"/>
  <c r="J367" i="23"/>
  <c r="J76" i="23" s="1"/>
  <c r="I367" i="23"/>
  <c r="I76" i="23" s="1"/>
  <c r="H367" i="23"/>
  <c r="H76" i="23" s="1"/>
  <c r="G367" i="23"/>
  <c r="Q367" i="23" s="1"/>
  <c r="J366" i="23"/>
  <c r="J75" i="23" s="1"/>
  <c r="I366" i="23"/>
  <c r="I75" i="23" s="1"/>
  <c r="H366" i="23"/>
  <c r="H75" i="23" s="1"/>
  <c r="G366" i="23"/>
  <c r="K366" i="23" s="1"/>
  <c r="J365" i="23"/>
  <c r="J364" i="23" s="1"/>
  <c r="I365" i="23"/>
  <c r="H365" i="23"/>
  <c r="H364" i="23" s="1"/>
  <c r="G365" i="23"/>
  <c r="F364" i="23"/>
  <c r="F363" i="23" s="1"/>
  <c r="E364" i="23"/>
  <c r="H362" i="23"/>
  <c r="I362" i="23" s="1"/>
  <c r="G362" i="23"/>
  <c r="G71" i="23" s="1"/>
  <c r="L71" i="23" s="1"/>
  <c r="H361" i="23"/>
  <c r="H70" i="23" s="1"/>
  <c r="G361" i="23"/>
  <c r="F360" i="23"/>
  <c r="E360" i="23"/>
  <c r="H359" i="23"/>
  <c r="H68" i="23" s="1"/>
  <c r="H67" i="23" s="1"/>
  <c r="G359" i="23"/>
  <c r="F358" i="23"/>
  <c r="E358" i="23"/>
  <c r="O357" i="23"/>
  <c r="E357" i="23"/>
  <c r="E65" i="23" s="1"/>
  <c r="O356" i="23"/>
  <c r="G356" i="23"/>
  <c r="G355" i="23"/>
  <c r="L355" i="23" s="1"/>
  <c r="G354" i="23"/>
  <c r="L354" i="23" s="1"/>
  <c r="G353" i="23"/>
  <c r="G61" i="23" s="1"/>
  <c r="L61" i="23" s="1"/>
  <c r="G352" i="23"/>
  <c r="G351" i="23"/>
  <c r="L351" i="23" s="1"/>
  <c r="G350" i="23"/>
  <c r="G349" i="23"/>
  <c r="G57" i="23" s="1"/>
  <c r="L57" i="23" s="1"/>
  <c r="G348" i="23"/>
  <c r="G56" i="23" s="1"/>
  <c r="L56" i="23" s="1"/>
  <c r="G347" i="23"/>
  <c r="G55" i="23" s="1"/>
  <c r="L55" i="23" s="1"/>
  <c r="G346" i="23"/>
  <c r="G345" i="23"/>
  <c r="G53" i="23" s="1"/>
  <c r="G344" i="23"/>
  <c r="G343" i="23"/>
  <c r="G342" i="23"/>
  <c r="L342" i="23" s="1"/>
  <c r="J341" i="23"/>
  <c r="I341" i="23"/>
  <c r="H341" i="23"/>
  <c r="G341" i="23"/>
  <c r="G49" i="23" s="1"/>
  <c r="L49" i="23" s="1"/>
  <c r="J340" i="23"/>
  <c r="J336" i="23" s="1"/>
  <c r="J335" i="23" s="1"/>
  <c r="I340" i="23"/>
  <c r="I336" i="23" s="1"/>
  <c r="I335" i="23" s="1"/>
  <c r="H340" i="23"/>
  <c r="H336" i="23" s="1"/>
  <c r="H335" i="23" s="1"/>
  <c r="F340" i="23"/>
  <c r="F336" i="23" s="1"/>
  <c r="F335" i="23" s="1"/>
  <c r="E340" i="23"/>
  <c r="G339" i="23"/>
  <c r="K339" i="23" s="1"/>
  <c r="G338" i="23"/>
  <c r="G337" i="23"/>
  <c r="K337" i="23" s="1"/>
  <c r="H333" i="23"/>
  <c r="I333" i="23" s="1"/>
  <c r="J333" i="23" s="1"/>
  <c r="G333" i="23"/>
  <c r="H332" i="23"/>
  <c r="I332" i="23" s="1"/>
  <c r="J332" i="23" s="1"/>
  <c r="G332" i="23"/>
  <c r="K332" i="23" s="1"/>
  <c r="H331" i="23"/>
  <c r="I331" i="23" s="1"/>
  <c r="J331" i="23" s="1"/>
  <c r="G331" i="23"/>
  <c r="H330" i="23"/>
  <c r="I330" i="23" s="1"/>
  <c r="J330" i="23" s="1"/>
  <c r="J41" i="23" s="1"/>
  <c r="G330" i="23"/>
  <c r="H329" i="23"/>
  <c r="G329" i="23"/>
  <c r="G40" i="23" s="1"/>
  <c r="L40" i="23" s="1"/>
  <c r="H328" i="23"/>
  <c r="I328" i="23" s="1"/>
  <c r="H327" i="23"/>
  <c r="I327" i="23" s="1"/>
  <c r="G327" i="23"/>
  <c r="K327" i="23" s="1"/>
  <c r="H326" i="23"/>
  <c r="I326" i="23" s="1"/>
  <c r="G326" i="23"/>
  <c r="G34" i="23" s="1"/>
  <c r="H325" i="23"/>
  <c r="I325" i="23" s="1"/>
  <c r="J325" i="23" s="1"/>
  <c r="H324" i="23"/>
  <c r="I324" i="23" s="1"/>
  <c r="J324" i="23" s="1"/>
  <c r="H323" i="23"/>
  <c r="I323" i="23" s="1"/>
  <c r="J323" i="23" s="1"/>
  <c r="H322" i="23"/>
  <c r="I322" i="23" s="1"/>
  <c r="J322" i="23" s="1"/>
  <c r="J30" i="23" s="1"/>
  <c r="J29" i="23" s="1"/>
  <c r="G322" i="23"/>
  <c r="Q322" i="23" s="1"/>
  <c r="H321" i="23"/>
  <c r="I321" i="23" s="1"/>
  <c r="J321" i="23" s="1"/>
  <c r="H320" i="23"/>
  <c r="I320" i="23" s="1"/>
  <c r="G320" i="23"/>
  <c r="H319" i="23"/>
  <c r="J319" i="23" s="1"/>
  <c r="H318" i="23"/>
  <c r="J318" i="23" s="1"/>
  <c r="J317" i="23"/>
  <c r="J25" i="23" s="1"/>
  <c r="I317" i="23"/>
  <c r="I25" i="23" s="1"/>
  <c r="H317" i="23"/>
  <c r="H25" i="23" s="1"/>
  <c r="G317" i="23"/>
  <c r="G316" i="23"/>
  <c r="Q316" i="23" s="1"/>
  <c r="J315" i="23"/>
  <c r="J23" i="23" s="1"/>
  <c r="I315" i="23"/>
  <c r="I23" i="23" s="1"/>
  <c r="H315" i="23"/>
  <c r="H23" i="23" s="1"/>
  <c r="G315" i="23"/>
  <c r="F314" i="23"/>
  <c r="F310" i="23" s="1"/>
  <c r="E314" i="23"/>
  <c r="H313" i="23"/>
  <c r="G313" i="23"/>
  <c r="H312" i="23"/>
  <c r="J312" i="23" s="1"/>
  <c r="G312" i="23"/>
  <c r="Q311" i="23"/>
  <c r="L311" i="23"/>
  <c r="K311" i="23"/>
  <c r="H309" i="23"/>
  <c r="H17" i="23" s="1"/>
  <c r="H16" i="23" s="1"/>
  <c r="H15" i="23" s="1"/>
  <c r="G309" i="23"/>
  <c r="F308" i="23"/>
  <c r="E308" i="23"/>
  <c r="F301" i="23"/>
  <c r="E301" i="23"/>
  <c r="F300" i="23"/>
  <c r="E300" i="23"/>
  <c r="F299" i="23"/>
  <c r="E299" i="23"/>
  <c r="F297" i="23"/>
  <c r="E297" i="23"/>
  <c r="F296" i="23"/>
  <c r="E296" i="23"/>
  <c r="F294" i="23"/>
  <c r="E294" i="23"/>
  <c r="F293" i="23"/>
  <c r="E293" i="23"/>
  <c r="F292" i="23"/>
  <c r="E292" i="23"/>
  <c r="F290" i="23"/>
  <c r="E290" i="23"/>
  <c r="F289" i="23"/>
  <c r="E289" i="23"/>
  <c r="F288" i="23"/>
  <c r="E288" i="23"/>
  <c r="F286" i="23"/>
  <c r="E286" i="23"/>
  <c r="F285" i="23"/>
  <c r="E285" i="23"/>
  <c r="F284" i="23"/>
  <c r="E284" i="23"/>
  <c r="F282" i="23"/>
  <c r="E282" i="23"/>
  <c r="F281" i="23"/>
  <c r="E281" i="23"/>
  <c r="F280" i="23"/>
  <c r="E280" i="23"/>
  <c r="F278" i="23"/>
  <c r="E278" i="23"/>
  <c r="F277" i="23"/>
  <c r="E277" i="23"/>
  <c r="F276" i="23"/>
  <c r="E276" i="23"/>
  <c r="F274" i="23"/>
  <c r="E274" i="23"/>
  <c r="F273" i="23"/>
  <c r="E273" i="23"/>
  <c r="F272" i="23"/>
  <c r="E272" i="23"/>
  <c r="F270" i="23"/>
  <c r="E270" i="23"/>
  <c r="F269" i="23"/>
  <c r="E269" i="23"/>
  <c r="F268" i="23"/>
  <c r="E268" i="23"/>
  <c r="F265" i="23"/>
  <c r="F264" i="23" s="1"/>
  <c r="E265" i="23"/>
  <c r="E264" i="23" s="1"/>
  <c r="J264" i="23"/>
  <c r="I264" i="23"/>
  <c r="H264" i="23"/>
  <c r="J263" i="23"/>
  <c r="I263" i="23"/>
  <c r="H263" i="23"/>
  <c r="F263" i="23"/>
  <c r="E263" i="23"/>
  <c r="J262" i="23"/>
  <c r="I262" i="23"/>
  <c r="H262" i="23"/>
  <c r="F262" i="23"/>
  <c r="E262" i="23"/>
  <c r="J261" i="23"/>
  <c r="I261" i="23"/>
  <c r="H261" i="23"/>
  <c r="F261" i="23"/>
  <c r="E261" i="23"/>
  <c r="J259" i="23"/>
  <c r="I259" i="23"/>
  <c r="H259" i="23"/>
  <c r="F259" i="23"/>
  <c r="E259" i="23"/>
  <c r="J258" i="23"/>
  <c r="I258" i="23"/>
  <c r="H258" i="23"/>
  <c r="F258" i="23"/>
  <c r="E258" i="23"/>
  <c r="J257" i="23"/>
  <c r="I257" i="23"/>
  <c r="H257" i="23"/>
  <c r="F257" i="23"/>
  <c r="E257" i="23"/>
  <c r="J255" i="23"/>
  <c r="I255" i="23"/>
  <c r="H255" i="23"/>
  <c r="F255" i="23"/>
  <c r="E255" i="23"/>
  <c r="J254" i="23"/>
  <c r="I254" i="23"/>
  <c r="H254" i="23"/>
  <c r="F254" i="23"/>
  <c r="E254" i="23"/>
  <c r="J253" i="23"/>
  <c r="I253" i="23"/>
  <c r="H253" i="23"/>
  <c r="F253" i="23"/>
  <c r="E253" i="23"/>
  <c r="J251" i="23"/>
  <c r="I251" i="23"/>
  <c r="H251" i="23"/>
  <c r="F251" i="23"/>
  <c r="E251" i="23"/>
  <c r="J250" i="23"/>
  <c r="I250" i="23"/>
  <c r="H250" i="23"/>
  <c r="F250" i="23"/>
  <c r="E250" i="23"/>
  <c r="J249" i="23"/>
  <c r="I249" i="23"/>
  <c r="H249" i="23"/>
  <c r="F249" i="23"/>
  <c r="E249" i="23"/>
  <c r="J247" i="23"/>
  <c r="I247" i="23"/>
  <c r="H247" i="23"/>
  <c r="F247" i="23"/>
  <c r="E247" i="23"/>
  <c r="J246" i="23"/>
  <c r="I246" i="23"/>
  <c r="H246" i="23"/>
  <c r="F246" i="23"/>
  <c r="E246" i="23"/>
  <c r="J245" i="23"/>
  <c r="I245" i="23"/>
  <c r="H245" i="23"/>
  <c r="F245" i="23"/>
  <c r="E245" i="23"/>
  <c r="J244" i="23"/>
  <c r="I244" i="23"/>
  <c r="H244" i="23"/>
  <c r="F244" i="23"/>
  <c r="E244" i="23"/>
  <c r="J242" i="23"/>
  <c r="I242" i="23"/>
  <c r="H242" i="23"/>
  <c r="F242" i="23"/>
  <c r="E242" i="23"/>
  <c r="J241" i="23"/>
  <c r="I241" i="23"/>
  <c r="H241" i="23"/>
  <c r="F241" i="23"/>
  <c r="E241" i="23"/>
  <c r="J240" i="23"/>
  <c r="I240" i="23"/>
  <c r="H240" i="23"/>
  <c r="F240" i="23"/>
  <c r="E240" i="23"/>
  <c r="J238" i="23"/>
  <c r="I238" i="23"/>
  <c r="H238" i="23"/>
  <c r="F238" i="23"/>
  <c r="E238" i="23"/>
  <c r="J237" i="23"/>
  <c r="I237" i="23"/>
  <c r="H237" i="23"/>
  <c r="F237" i="23"/>
  <c r="E237" i="23"/>
  <c r="J236" i="23"/>
  <c r="I236" i="23"/>
  <c r="H236" i="23"/>
  <c r="F236" i="23"/>
  <c r="E236" i="23"/>
  <c r="J234" i="23"/>
  <c r="I234" i="23"/>
  <c r="H234" i="23"/>
  <c r="F234" i="23"/>
  <c r="E234" i="23"/>
  <c r="J233" i="23"/>
  <c r="I233" i="23"/>
  <c r="H233" i="23"/>
  <c r="F233" i="23"/>
  <c r="E233" i="23"/>
  <c r="J232" i="23"/>
  <c r="I232" i="23"/>
  <c r="H232" i="23"/>
  <c r="F232" i="23"/>
  <c r="E232" i="23"/>
  <c r="J230" i="23"/>
  <c r="I230" i="23"/>
  <c r="H230" i="23"/>
  <c r="F230" i="23"/>
  <c r="E230" i="23"/>
  <c r="J229" i="23"/>
  <c r="I229" i="23"/>
  <c r="H229" i="23"/>
  <c r="F229" i="23"/>
  <c r="E229" i="23"/>
  <c r="J228" i="23"/>
  <c r="I228" i="23"/>
  <c r="H228" i="23"/>
  <c r="F228" i="23"/>
  <c r="E228" i="23"/>
  <c r="J226" i="23"/>
  <c r="I226" i="23"/>
  <c r="H226" i="23"/>
  <c r="F226" i="23"/>
  <c r="E226" i="23"/>
  <c r="J225" i="23"/>
  <c r="I225" i="23"/>
  <c r="H225" i="23"/>
  <c r="F225" i="23"/>
  <c r="E225" i="23"/>
  <c r="J224" i="23"/>
  <c r="I224" i="23"/>
  <c r="H224" i="23"/>
  <c r="F224" i="23"/>
  <c r="E224" i="23"/>
  <c r="J223" i="23"/>
  <c r="I223" i="23"/>
  <c r="H223" i="23"/>
  <c r="F223" i="23"/>
  <c r="E223" i="23"/>
  <c r="J221" i="23"/>
  <c r="I221" i="23"/>
  <c r="H221" i="23"/>
  <c r="F221" i="23"/>
  <c r="E221" i="23"/>
  <c r="J220" i="23"/>
  <c r="I220" i="23"/>
  <c r="H220" i="23"/>
  <c r="F220" i="23"/>
  <c r="E220" i="23"/>
  <c r="J219" i="23"/>
  <c r="I219" i="23"/>
  <c r="H219" i="23"/>
  <c r="F219" i="23"/>
  <c r="E219" i="23"/>
  <c r="J218" i="23"/>
  <c r="I218" i="23"/>
  <c r="H218" i="23"/>
  <c r="F218" i="23"/>
  <c r="E218" i="23"/>
  <c r="F211" i="23"/>
  <c r="J211" i="23" s="1"/>
  <c r="F210" i="23"/>
  <c r="E210" i="23"/>
  <c r="F209" i="23"/>
  <c r="E209" i="23"/>
  <c r="F208" i="23"/>
  <c r="E208" i="23"/>
  <c r="F207" i="23"/>
  <c r="E207" i="23"/>
  <c r="F205" i="23"/>
  <c r="F204" i="23" s="1"/>
  <c r="E205" i="23"/>
  <c r="F203" i="23"/>
  <c r="E203" i="23"/>
  <c r="F202" i="23"/>
  <c r="E202" i="23"/>
  <c r="F201" i="23"/>
  <c r="E201" i="23"/>
  <c r="F199" i="23"/>
  <c r="E199" i="23"/>
  <c r="F198" i="23"/>
  <c r="E198" i="23"/>
  <c r="F197" i="23"/>
  <c r="E197" i="23"/>
  <c r="J196" i="23"/>
  <c r="I196" i="23"/>
  <c r="H196" i="23"/>
  <c r="F196" i="23"/>
  <c r="E196" i="23"/>
  <c r="J195" i="23"/>
  <c r="I195" i="23"/>
  <c r="H195" i="23"/>
  <c r="F195" i="23"/>
  <c r="E195" i="23"/>
  <c r="J194" i="23"/>
  <c r="I194" i="23"/>
  <c r="H194" i="23"/>
  <c r="F194" i="23"/>
  <c r="E194" i="23"/>
  <c r="J192" i="23"/>
  <c r="I192" i="23"/>
  <c r="H192" i="23"/>
  <c r="F192" i="23"/>
  <c r="E192" i="23"/>
  <c r="J191" i="23"/>
  <c r="I191" i="23"/>
  <c r="H191" i="23"/>
  <c r="F191" i="23"/>
  <c r="E191" i="23"/>
  <c r="J190" i="23"/>
  <c r="I190" i="23"/>
  <c r="H190" i="23"/>
  <c r="F190" i="23"/>
  <c r="E190" i="23"/>
  <c r="F189" i="23"/>
  <c r="E189" i="23"/>
  <c r="F188" i="23"/>
  <c r="E188" i="23"/>
  <c r="L186" i="23"/>
  <c r="K186" i="23"/>
  <c r="J186" i="23"/>
  <c r="I186" i="23"/>
  <c r="H186" i="23"/>
  <c r="F185" i="23"/>
  <c r="E185" i="23"/>
  <c r="J184" i="23"/>
  <c r="I184" i="23"/>
  <c r="H184" i="23"/>
  <c r="F184" i="23"/>
  <c r="E184" i="23"/>
  <c r="F183" i="23"/>
  <c r="E183" i="23"/>
  <c r="F182" i="23"/>
  <c r="E182" i="23"/>
  <c r="F181" i="23"/>
  <c r="E181" i="23"/>
  <c r="F180" i="23"/>
  <c r="E180" i="23"/>
  <c r="F179" i="23"/>
  <c r="E179" i="23"/>
  <c r="F178" i="23"/>
  <c r="E178" i="23"/>
  <c r="F177" i="23"/>
  <c r="E177" i="23"/>
  <c r="F176" i="23"/>
  <c r="E176" i="23"/>
  <c r="F175" i="23"/>
  <c r="E175" i="23"/>
  <c r="F174" i="23"/>
  <c r="E174" i="23"/>
  <c r="F173" i="23"/>
  <c r="E173" i="23"/>
  <c r="F172" i="23"/>
  <c r="E172" i="23"/>
  <c r="J170" i="23"/>
  <c r="I170" i="23"/>
  <c r="H170" i="23"/>
  <c r="F170" i="23"/>
  <c r="E170" i="23"/>
  <c r="J169" i="23"/>
  <c r="I169" i="23"/>
  <c r="H169" i="23"/>
  <c r="F169" i="23"/>
  <c r="E169" i="23"/>
  <c r="J168" i="23"/>
  <c r="I168" i="23"/>
  <c r="H168" i="23"/>
  <c r="F168" i="23"/>
  <c r="E168" i="23"/>
  <c r="J167" i="23"/>
  <c r="I167" i="23"/>
  <c r="H167" i="23"/>
  <c r="F167" i="23"/>
  <c r="E167" i="23"/>
  <c r="J166" i="23"/>
  <c r="I166" i="23"/>
  <c r="H166" i="23"/>
  <c r="F166" i="23"/>
  <c r="E166" i="23"/>
  <c r="J164" i="23"/>
  <c r="I164" i="23"/>
  <c r="H164" i="23"/>
  <c r="F164" i="23"/>
  <c r="E164" i="23"/>
  <c r="J163" i="23"/>
  <c r="I163" i="23"/>
  <c r="H163" i="23"/>
  <c r="F163" i="23"/>
  <c r="E163" i="23"/>
  <c r="J162" i="23"/>
  <c r="I162" i="23"/>
  <c r="H162" i="23"/>
  <c r="F162" i="23"/>
  <c r="E162" i="23"/>
  <c r="J161" i="23"/>
  <c r="I161" i="23"/>
  <c r="H161" i="23"/>
  <c r="F161" i="23"/>
  <c r="E161" i="23"/>
  <c r="J159" i="23"/>
  <c r="I159" i="23"/>
  <c r="H159" i="23"/>
  <c r="F159" i="23"/>
  <c r="E159" i="23"/>
  <c r="J158" i="23"/>
  <c r="I158" i="23"/>
  <c r="H158" i="23"/>
  <c r="F158" i="23"/>
  <c r="E158" i="23"/>
  <c r="J157" i="23"/>
  <c r="I157" i="23"/>
  <c r="H157" i="23"/>
  <c r="F157" i="23"/>
  <c r="E157" i="23"/>
  <c r="J156" i="23"/>
  <c r="I156" i="23"/>
  <c r="H156" i="23"/>
  <c r="F156" i="23"/>
  <c r="E156" i="23"/>
  <c r="J155" i="23"/>
  <c r="I155" i="23"/>
  <c r="H155" i="23"/>
  <c r="F155" i="23"/>
  <c r="E155" i="23"/>
  <c r="J154" i="23"/>
  <c r="I154" i="23"/>
  <c r="H154" i="23"/>
  <c r="F154" i="23"/>
  <c r="E154" i="23"/>
  <c r="J153" i="23"/>
  <c r="I153" i="23"/>
  <c r="H153" i="23"/>
  <c r="F153" i="23"/>
  <c r="E153" i="23"/>
  <c r="J152" i="23"/>
  <c r="I152" i="23"/>
  <c r="H152" i="23"/>
  <c r="F152" i="23"/>
  <c r="E152" i="23"/>
  <c r="J150" i="23"/>
  <c r="I150" i="23"/>
  <c r="H150" i="23"/>
  <c r="F150" i="23"/>
  <c r="E150" i="23"/>
  <c r="J149" i="23"/>
  <c r="I149" i="23"/>
  <c r="H149" i="23"/>
  <c r="F149" i="23"/>
  <c r="E149" i="23"/>
  <c r="J148" i="23"/>
  <c r="I148" i="23"/>
  <c r="H148" i="23"/>
  <c r="F148" i="23"/>
  <c r="E148" i="23"/>
  <c r="J147" i="23"/>
  <c r="I147" i="23"/>
  <c r="H147" i="23"/>
  <c r="F147" i="23"/>
  <c r="E147" i="23"/>
  <c r="J146" i="23"/>
  <c r="I146" i="23"/>
  <c r="H146" i="23"/>
  <c r="F146" i="23"/>
  <c r="E146" i="23"/>
  <c r="J145" i="23"/>
  <c r="I145" i="23"/>
  <c r="H145" i="23"/>
  <c r="F145" i="23"/>
  <c r="E145" i="23"/>
  <c r="F140" i="23"/>
  <c r="E140" i="23"/>
  <c r="J139" i="23"/>
  <c r="I139" i="23"/>
  <c r="H139" i="23"/>
  <c r="F139" i="23"/>
  <c r="E139" i="23"/>
  <c r="J138" i="23"/>
  <c r="I138" i="23"/>
  <c r="H138" i="23"/>
  <c r="F138" i="23"/>
  <c r="E138" i="23"/>
  <c r="J137" i="23"/>
  <c r="I137" i="23"/>
  <c r="H137" i="23"/>
  <c r="F137" i="23"/>
  <c r="E137" i="23"/>
  <c r="F136" i="23"/>
  <c r="E136" i="23"/>
  <c r="F135" i="23"/>
  <c r="E135" i="23"/>
  <c r="F134" i="23"/>
  <c r="E134" i="23"/>
  <c r="F133" i="23"/>
  <c r="E133" i="23"/>
  <c r="J130" i="23"/>
  <c r="I130" i="23"/>
  <c r="H130" i="23"/>
  <c r="F130" i="23"/>
  <c r="E130" i="23"/>
  <c r="F129" i="23"/>
  <c r="E129" i="23"/>
  <c r="F128" i="23"/>
  <c r="E128" i="23"/>
  <c r="F127" i="23"/>
  <c r="E127" i="23"/>
  <c r="J126" i="23"/>
  <c r="I126" i="23"/>
  <c r="H126" i="23"/>
  <c r="F126" i="23"/>
  <c r="E126" i="23"/>
  <c r="F123" i="23"/>
  <c r="E123" i="23"/>
  <c r="F122" i="23"/>
  <c r="E122" i="23"/>
  <c r="J121" i="23"/>
  <c r="I121" i="23"/>
  <c r="H121" i="23"/>
  <c r="F121" i="23"/>
  <c r="E121" i="23"/>
  <c r="J120" i="23"/>
  <c r="I120" i="23"/>
  <c r="H120" i="23"/>
  <c r="F120" i="23"/>
  <c r="E120" i="23"/>
  <c r="F119" i="23"/>
  <c r="E119" i="23"/>
  <c r="F117" i="23"/>
  <c r="F116" i="23"/>
  <c r="E116" i="23"/>
  <c r="F115" i="23"/>
  <c r="E115" i="23"/>
  <c r="J114" i="23"/>
  <c r="I114" i="23"/>
  <c r="H114" i="23"/>
  <c r="F114" i="23"/>
  <c r="E114" i="23"/>
  <c r="F113" i="23"/>
  <c r="E113" i="23"/>
  <c r="F112" i="23"/>
  <c r="E112" i="23"/>
  <c r="F111" i="23"/>
  <c r="E111" i="23"/>
  <c r="L109" i="23"/>
  <c r="F109" i="23"/>
  <c r="E109" i="23"/>
  <c r="F108" i="23"/>
  <c r="E108" i="23"/>
  <c r="F107" i="23"/>
  <c r="E107" i="23"/>
  <c r="F106" i="23"/>
  <c r="E106" i="23"/>
  <c r="F104" i="23"/>
  <c r="E104" i="23"/>
  <c r="F103" i="23"/>
  <c r="E103" i="23"/>
  <c r="F101" i="23"/>
  <c r="E101" i="23"/>
  <c r="F100" i="23"/>
  <c r="E100" i="23"/>
  <c r="F99" i="23"/>
  <c r="E99" i="23"/>
  <c r="F98" i="23"/>
  <c r="E98" i="23"/>
  <c r="F97" i="23"/>
  <c r="E97" i="23"/>
  <c r="F96" i="23"/>
  <c r="E96" i="23"/>
  <c r="F95" i="23"/>
  <c r="E95" i="23"/>
  <c r="F92" i="23"/>
  <c r="F91" i="23" s="1"/>
  <c r="E92" i="23"/>
  <c r="E91" i="23" s="1"/>
  <c r="F90" i="23"/>
  <c r="E90" i="23"/>
  <c r="F89" i="23"/>
  <c r="E89" i="23"/>
  <c r="E88" i="23" s="1"/>
  <c r="F87" i="23"/>
  <c r="E87" i="23"/>
  <c r="F86" i="23"/>
  <c r="E86" i="23"/>
  <c r="F85" i="23"/>
  <c r="F84" i="23"/>
  <c r="E84" i="23"/>
  <c r="F80" i="23"/>
  <c r="F79" i="23" s="1"/>
  <c r="F78" i="23" s="1"/>
  <c r="E80" i="23"/>
  <c r="E79" i="23" s="1"/>
  <c r="E78" i="23" s="1"/>
  <c r="F77" i="23"/>
  <c r="E77" i="23"/>
  <c r="F76" i="23"/>
  <c r="E76" i="23"/>
  <c r="F75" i="23"/>
  <c r="E75" i="23"/>
  <c r="F74" i="23"/>
  <c r="E74" i="23"/>
  <c r="F71" i="23"/>
  <c r="E71" i="23"/>
  <c r="F70" i="23"/>
  <c r="E70" i="23"/>
  <c r="F68" i="23"/>
  <c r="F67" i="23" s="1"/>
  <c r="E68" i="23"/>
  <c r="E67" i="23" s="1"/>
  <c r="J66" i="23"/>
  <c r="I66" i="23"/>
  <c r="H66" i="23"/>
  <c r="F66" i="23"/>
  <c r="E66" i="23"/>
  <c r="J65" i="23"/>
  <c r="I65" i="23"/>
  <c r="H65" i="23"/>
  <c r="F65" i="23"/>
  <c r="J64" i="23"/>
  <c r="I64" i="23"/>
  <c r="H64" i="23"/>
  <c r="F64" i="23"/>
  <c r="E64" i="23"/>
  <c r="J63" i="23"/>
  <c r="I63" i="23"/>
  <c r="H63" i="23"/>
  <c r="F63" i="23"/>
  <c r="E63" i="23"/>
  <c r="J62" i="23"/>
  <c r="I62" i="23"/>
  <c r="H62" i="23"/>
  <c r="F62" i="23"/>
  <c r="E62" i="23"/>
  <c r="F61" i="23"/>
  <c r="E61" i="23"/>
  <c r="J60" i="23"/>
  <c r="I60" i="23"/>
  <c r="H60" i="23"/>
  <c r="F60" i="23"/>
  <c r="E60" i="23"/>
  <c r="J59" i="23"/>
  <c r="I59" i="23"/>
  <c r="H59" i="23"/>
  <c r="F59" i="23"/>
  <c r="E59" i="23"/>
  <c r="F58" i="23"/>
  <c r="E58" i="23"/>
  <c r="J57" i="23"/>
  <c r="I57" i="23"/>
  <c r="H57" i="23"/>
  <c r="F57" i="23"/>
  <c r="E57" i="23"/>
  <c r="J56" i="23"/>
  <c r="I56" i="23"/>
  <c r="H56" i="23"/>
  <c r="F56" i="23"/>
  <c r="E56" i="23"/>
  <c r="J55" i="23"/>
  <c r="I55" i="23"/>
  <c r="H55" i="23"/>
  <c r="F55" i="23"/>
  <c r="E55" i="23"/>
  <c r="F54" i="23"/>
  <c r="E54" i="23"/>
  <c r="F53" i="23"/>
  <c r="E53" i="23"/>
  <c r="F52" i="23"/>
  <c r="E52" i="23"/>
  <c r="J51" i="23"/>
  <c r="I51" i="23"/>
  <c r="H51" i="23"/>
  <c r="F51" i="23"/>
  <c r="E51" i="23"/>
  <c r="J50" i="23"/>
  <c r="I50" i="23"/>
  <c r="H50" i="23"/>
  <c r="F50" i="23"/>
  <c r="E50" i="23"/>
  <c r="F49" i="23"/>
  <c r="E49" i="23"/>
  <c r="J47" i="23"/>
  <c r="I47" i="23"/>
  <c r="H47" i="23"/>
  <c r="F47" i="23"/>
  <c r="E47" i="23"/>
  <c r="J46" i="23"/>
  <c r="I46" i="23"/>
  <c r="H46" i="23"/>
  <c r="F46" i="23"/>
  <c r="E46" i="23"/>
  <c r="J45" i="23"/>
  <c r="I45" i="23"/>
  <c r="H45" i="23"/>
  <c r="F45" i="23"/>
  <c r="E45" i="23"/>
  <c r="F41" i="23"/>
  <c r="E41" i="23"/>
  <c r="F40" i="23"/>
  <c r="E40" i="23"/>
  <c r="F39" i="23"/>
  <c r="E39" i="23"/>
  <c r="F38" i="23"/>
  <c r="E38" i="23"/>
  <c r="F37" i="23"/>
  <c r="E37" i="23"/>
  <c r="F35" i="23"/>
  <c r="E35" i="23"/>
  <c r="F34" i="23"/>
  <c r="E34" i="23"/>
  <c r="F30" i="23"/>
  <c r="F29" i="23" s="1"/>
  <c r="E30" i="23"/>
  <c r="E29" i="23" s="1"/>
  <c r="F28" i="23"/>
  <c r="F27" i="23" s="1"/>
  <c r="F26" i="23" s="1"/>
  <c r="E28" i="23"/>
  <c r="E27" i="23" s="1"/>
  <c r="F25" i="23"/>
  <c r="E25" i="23"/>
  <c r="F24" i="23"/>
  <c r="E24" i="23"/>
  <c r="F23" i="23"/>
  <c r="E23" i="23"/>
  <c r="F21" i="23"/>
  <c r="F19" i="23" s="1"/>
  <c r="E21" i="23"/>
  <c r="Q20" i="23"/>
  <c r="L20" i="23"/>
  <c r="K20" i="23"/>
  <c r="F17" i="23"/>
  <c r="F16" i="23" s="1"/>
  <c r="F15" i="23" s="1"/>
  <c r="E17" i="23"/>
  <c r="E16" i="23" s="1"/>
  <c r="E15" i="23" s="1"/>
  <c r="N12" i="23"/>
  <c r="G3" i="23"/>
  <c r="G2" i="23"/>
  <c r="I123" i="1"/>
  <c r="I122" i="1"/>
  <c r="I119" i="1"/>
  <c r="I118" i="1"/>
  <c r="E112" i="1"/>
  <c r="D112" i="1"/>
  <c r="E111" i="1"/>
  <c r="D111" i="1"/>
  <c r="J110" i="1"/>
  <c r="H110" i="1"/>
  <c r="G110" i="1"/>
  <c r="F110" i="1"/>
  <c r="E110" i="1"/>
  <c r="D110" i="1"/>
  <c r="E109" i="1"/>
  <c r="D109" i="1"/>
  <c r="E108" i="1"/>
  <c r="D108" i="1"/>
  <c r="H107" i="1"/>
  <c r="G107" i="1"/>
  <c r="F107" i="1"/>
  <c r="E107" i="1"/>
  <c r="D107" i="1"/>
  <c r="K106" i="1"/>
  <c r="J106" i="1"/>
  <c r="I106" i="1"/>
  <c r="E106" i="1"/>
  <c r="D106" i="1"/>
  <c r="J105" i="1"/>
  <c r="E105" i="1"/>
  <c r="D105" i="1"/>
  <c r="C105" i="1"/>
  <c r="I105" i="1" s="1"/>
  <c r="K105" i="1" s="1"/>
  <c r="K104" i="1" s="1"/>
  <c r="J104" i="1"/>
  <c r="H104" i="1"/>
  <c r="G104" i="1"/>
  <c r="F104" i="1"/>
  <c r="E104" i="1"/>
  <c r="D104" i="1"/>
  <c r="K103" i="1"/>
  <c r="I103" i="1"/>
  <c r="E103" i="1"/>
  <c r="D103" i="1"/>
  <c r="K102" i="1"/>
  <c r="I102" i="1"/>
  <c r="E102" i="1"/>
  <c r="D102" i="1"/>
  <c r="K101" i="1"/>
  <c r="J101" i="1"/>
  <c r="I101" i="1"/>
  <c r="H101" i="1"/>
  <c r="G101" i="1"/>
  <c r="F101" i="1"/>
  <c r="E101" i="1"/>
  <c r="D101" i="1"/>
  <c r="C101" i="1"/>
  <c r="K100" i="1"/>
  <c r="I100" i="1"/>
  <c r="E100" i="1"/>
  <c r="D100" i="1"/>
  <c r="K99" i="1"/>
  <c r="I99" i="1"/>
  <c r="E99" i="1"/>
  <c r="D99" i="1"/>
  <c r="K98" i="1"/>
  <c r="J98" i="1"/>
  <c r="I98" i="1"/>
  <c r="H98" i="1"/>
  <c r="G98" i="1"/>
  <c r="F98" i="1"/>
  <c r="E98" i="1"/>
  <c r="D98" i="1"/>
  <c r="C98" i="1"/>
  <c r="E97" i="1"/>
  <c r="D97" i="1"/>
  <c r="D96" i="1"/>
  <c r="H95" i="1"/>
  <c r="G95" i="1"/>
  <c r="F95" i="1"/>
  <c r="D95" i="1"/>
  <c r="E94" i="1"/>
  <c r="D94" i="1"/>
  <c r="E93" i="1"/>
  <c r="D93" i="1"/>
  <c r="J92" i="1"/>
  <c r="H92" i="1"/>
  <c r="G92" i="1"/>
  <c r="F92" i="1"/>
  <c r="E92" i="1"/>
  <c r="D92" i="1"/>
  <c r="J91" i="1"/>
  <c r="E91" i="1"/>
  <c r="D91" i="1"/>
  <c r="J90" i="1"/>
  <c r="E90" i="1"/>
  <c r="D90" i="1"/>
  <c r="J89" i="1"/>
  <c r="H89" i="1"/>
  <c r="G89" i="1"/>
  <c r="F89" i="1"/>
  <c r="E89" i="1"/>
  <c r="D89" i="1"/>
  <c r="E88" i="1"/>
  <c r="E87" i="1"/>
  <c r="H86" i="1"/>
  <c r="G86" i="1"/>
  <c r="F86" i="1"/>
  <c r="E86" i="1"/>
  <c r="D85" i="1"/>
  <c r="D84" i="1"/>
  <c r="H83" i="1"/>
  <c r="G83" i="1"/>
  <c r="F83" i="1"/>
  <c r="D83" i="1"/>
  <c r="E82" i="1"/>
  <c r="D82" i="1"/>
  <c r="E81" i="1"/>
  <c r="D81" i="1"/>
  <c r="H80" i="1"/>
  <c r="G80" i="1"/>
  <c r="F80" i="1"/>
  <c r="E80" i="1"/>
  <c r="D80" i="1"/>
  <c r="E79" i="1"/>
  <c r="D79" i="1"/>
  <c r="E78" i="1"/>
  <c r="D78" i="1"/>
  <c r="J77" i="1"/>
  <c r="H77" i="1"/>
  <c r="G77" i="1"/>
  <c r="F77" i="1"/>
  <c r="E77" i="1"/>
  <c r="D77" i="1"/>
  <c r="E76" i="1"/>
  <c r="D76" i="1"/>
  <c r="E75" i="1"/>
  <c r="D75" i="1"/>
  <c r="J74" i="1"/>
  <c r="H74" i="1"/>
  <c r="G74" i="1"/>
  <c r="F74" i="1"/>
  <c r="E74" i="1"/>
  <c r="D74" i="1"/>
  <c r="K73" i="1"/>
  <c r="I73" i="1"/>
  <c r="E73" i="1"/>
  <c r="D73" i="1"/>
  <c r="K72" i="1"/>
  <c r="I72" i="1"/>
  <c r="E72" i="1"/>
  <c r="D72" i="1"/>
  <c r="K71" i="1"/>
  <c r="J71" i="1"/>
  <c r="I71" i="1"/>
  <c r="H71" i="1"/>
  <c r="G71" i="1"/>
  <c r="F71" i="1"/>
  <c r="E71" i="1"/>
  <c r="D71" i="1"/>
  <c r="C71" i="1"/>
  <c r="K70" i="1"/>
  <c r="I70" i="1"/>
  <c r="E70" i="1"/>
  <c r="D70" i="1"/>
  <c r="E69" i="1"/>
  <c r="D69" i="1"/>
  <c r="J68" i="1"/>
  <c r="H68" i="1"/>
  <c r="G68" i="1"/>
  <c r="F68" i="1"/>
  <c r="E68" i="1"/>
  <c r="D68" i="1"/>
  <c r="J67" i="1"/>
  <c r="E67" i="1"/>
  <c r="D67" i="1"/>
  <c r="J66" i="1"/>
  <c r="J65" i="1" s="1"/>
  <c r="E66" i="1"/>
  <c r="D66" i="1"/>
  <c r="D65" i="1" s="1"/>
  <c r="H65" i="1"/>
  <c r="G65" i="1"/>
  <c r="F65" i="1"/>
  <c r="E65" i="1"/>
  <c r="E64" i="1"/>
  <c r="D64" i="1"/>
  <c r="E63" i="1"/>
  <c r="D63" i="1"/>
  <c r="H62" i="1"/>
  <c r="G62" i="1"/>
  <c r="F62" i="1"/>
  <c r="E62" i="1"/>
  <c r="D62" i="1"/>
  <c r="H61" i="1"/>
  <c r="G61" i="1"/>
  <c r="F61" i="1"/>
  <c r="G60" i="1"/>
  <c r="F60" i="1"/>
  <c r="K59" i="1"/>
  <c r="I59" i="1"/>
  <c r="E59" i="1"/>
  <c r="D59" i="1"/>
  <c r="E58" i="1"/>
  <c r="D58" i="1"/>
  <c r="I57" i="1"/>
  <c r="K57" i="1" s="1"/>
  <c r="K55" i="1" s="1"/>
  <c r="E57" i="1"/>
  <c r="D57" i="1"/>
  <c r="K56" i="1"/>
  <c r="I56" i="1"/>
  <c r="E56" i="1"/>
  <c r="D56" i="1"/>
  <c r="J55" i="1"/>
  <c r="I55" i="1"/>
  <c r="H55" i="1"/>
  <c r="G55" i="1"/>
  <c r="F55" i="1"/>
  <c r="E55" i="1"/>
  <c r="D55" i="1"/>
  <c r="C55" i="1"/>
  <c r="E54" i="1"/>
  <c r="E53" i="1"/>
  <c r="D53" i="1"/>
  <c r="I52" i="1"/>
  <c r="K52" i="1" s="1"/>
  <c r="E52" i="1"/>
  <c r="D52" i="1"/>
  <c r="E51" i="1"/>
  <c r="D51" i="1"/>
  <c r="I50" i="1"/>
  <c r="E50" i="1"/>
  <c r="D50" i="1"/>
  <c r="I49" i="1"/>
  <c r="E49" i="1"/>
  <c r="D49" i="1"/>
  <c r="K48" i="1"/>
  <c r="I48" i="1"/>
  <c r="E48" i="1"/>
  <c r="D48" i="1"/>
  <c r="K47" i="1"/>
  <c r="I47" i="1"/>
  <c r="E47" i="1"/>
  <c r="D47" i="1"/>
  <c r="I46" i="1"/>
  <c r="K46" i="1" s="1"/>
  <c r="E46" i="1"/>
  <c r="D46" i="1"/>
  <c r="E45" i="1"/>
  <c r="E44" i="1"/>
  <c r="H43" i="1"/>
  <c r="G43" i="1"/>
  <c r="F43" i="1"/>
  <c r="C43" i="1"/>
  <c r="C42" i="1" s="1"/>
  <c r="C60" i="1" s="1"/>
  <c r="H42" i="1"/>
  <c r="G42" i="1"/>
  <c r="F42" i="1"/>
  <c r="E41" i="1"/>
  <c r="D41" i="1"/>
  <c r="E40" i="1"/>
  <c r="E38" i="1" s="1"/>
  <c r="E39" i="1"/>
  <c r="D39" i="1"/>
  <c r="H38" i="1"/>
  <c r="G38" i="1"/>
  <c r="F38" i="1"/>
  <c r="E37" i="1"/>
  <c r="D37" i="1"/>
  <c r="E36" i="1"/>
  <c r="D36" i="1"/>
  <c r="E35" i="1"/>
  <c r="E20" i="1" s="1"/>
  <c r="D35" i="1"/>
  <c r="D20" i="1" s="1"/>
  <c r="E34" i="1"/>
  <c r="D34" i="1"/>
  <c r="E33" i="1"/>
  <c r="D33" i="1"/>
  <c r="E32" i="1"/>
  <c r="D32" i="1"/>
  <c r="E31" i="1"/>
  <c r="D31" i="1"/>
  <c r="E30" i="1"/>
  <c r="D30" i="1"/>
  <c r="H29" i="1"/>
  <c r="G29" i="1"/>
  <c r="F29" i="1"/>
  <c r="E29" i="1"/>
  <c r="D29" i="1"/>
  <c r="E28" i="1"/>
  <c r="D28" i="1"/>
  <c r="E27" i="1"/>
  <c r="D27" i="1"/>
  <c r="E26" i="1"/>
  <c r="D26" i="1"/>
  <c r="E25" i="1"/>
  <c r="D25" i="1"/>
  <c r="J24" i="1"/>
  <c r="H24" i="1"/>
  <c r="G24" i="1"/>
  <c r="F24" i="1"/>
  <c r="E24" i="1"/>
  <c r="D24" i="1"/>
  <c r="E23" i="1"/>
  <c r="D23" i="1"/>
  <c r="E22" i="1"/>
  <c r="D22" i="1"/>
  <c r="H21" i="1"/>
  <c r="G21" i="1"/>
  <c r="F21" i="1"/>
  <c r="E21" i="1"/>
  <c r="D21" i="1"/>
  <c r="H20" i="1"/>
  <c r="H19" i="1" s="1"/>
  <c r="G20" i="1"/>
  <c r="F20" i="1"/>
  <c r="G19" i="1"/>
  <c r="F19" i="1"/>
  <c r="K2" i="1"/>
  <c r="H60" i="1" l="1"/>
  <c r="D87" i="1"/>
  <c r="D86" i="1" s="1"/>
  <c r="D61" i="1" s="1"/>
  <c r="I60" i="7"/>
  <c r="E88" i="7"/>
  <c r="D88" i="1" s="1"/>
  <c r="H60" i="7"/>
  <c r="I51" i="1"/>
  <c r="K51" i="1" s="1"/>
  <c r="G60" i="7"/>
  <c r="E35" i="7"/>
  <c r="E33" i="7" s="1"/>
  <c r="E14" i="7" s="1"/>
  <c r="G33" i="7"/>
  <c r="G14" i="7" s="1"/>
  <c r="E36" i="7"/>
  <c r="I58" i="1"/>
  <c r="I54" i="1"/>
  <c r="K54" i="1" s="1"/>
  <c r="I53" i="1"/>
  <c r="K53" i="1" s="1"/>
  <c r="F60" i="7"/>
  <c r="E43" i="7"/>
  <c r="E42" i="7" s="1"/>
  <c r="D40" i="1"/>
  <c r="D38" i="1" s="1"/>
  <c r="D19" i="1" s="1"/>
  <c r="F33" i="7"/>
  <c r="F14" i="7" s="1"/>
  <c r="L42" i="7"/>
  <c r="L60" i="7" s="1"/>
  <c r="E84" i="1"/>
  <c r="E83" i="1" s="1"/>
  <c r="E61" i="1" s="1"/>
  <c r="E43" i="1"/>
  <c r="E42" i="1" s="1"/>
  <c r="I45" i="1"/>
  <c r="K45" i="1" s="1"/>
  <c r="N60" i="7"/>
  <c r="M42" i="7"/>
  <c r="M60" i="7"/>
  <c r="I44" i="1"/>
  <c r="K44" i="1" s="1"/>
  <c r="E19" i="1"/>
  <c r="D43" i="1"/>
  <c r="D42" i="1" s="1"/>
  <c r="H847" i="23"/>
  <c r="K520" i="23"/>
  <c r="G519" i="23"/>
  <c r="L519" i="23" s="1"/>
  <c r="E623" i="23"/>
  <c r="K623" i="23" s="1"/>
  <c r="H721" i="23"/>
  <c r="I721" i="23" s="1"/>
  <c r="J721" i="23" s="1"/>
  <c r="F974" i="23"/>
  <c r="L624" i="23"/>
  <c r="G623" i="23"/>
  <c r="Q968" i="23"/>
  <c r="L968" i="23"/>
  <c r="G977" i="23"/>
  <c r="K977" i="23" s="1"/>
  <c r="J680" i="23"/>
  <c r="J679" i="23" s="1"/>
  <c r="E206" i="23"/>
  <c r="F206" i="23"/>
  <c r="I100" i="23"/>
  <c r="J1008" i="23"/>
  <c r="J1007" i="23" s="1"/>
  <c r="J1005" i="23" s="1"/>
  <c r="J1004" i="23" s="1"/>
  <c r="E1008" i="23"/>
  <c r="E1007" i="23" s="1"/>
  <c r="H109" i="23"/>
  <c r="H519" i="23"/>
  <c r="G90" i="23"/>
  <c r="L90" i="23" s="1"/>
  <c r="H133" i="23"/>
  <c r="G1047" i="23"/>
  <c r="L1047" i="23" s="1"/>
  <c r="H844" i="23"/>
  <c r="G288" i="23"/>
  <c r="L288" i="23" s="1"/>
  <c r="G62" i="23"/>
  <c r="L62" i="23" s="1"/>
  <c r="I109" i="23"/>
  <c r="G126" i="23"/>
  <c r="L126" i="23" s="1"/>
  <c r="G50" i="23"/>
  <c r="L50" i="23" s="1"/>
  <c r="G119" i="23"/>
  <c r="L119" i="23" s="1"/>
  <c r="H135" i="23"/>
  <c r="E187" i="23"/>
  <c r="H100" i="23"/>
  <c r="H107" i="23"/>
  <c r="G208" i="23"/>
  <c r="L208" i="23" s="1"/>
  <c r="G122" i="23"/>
  <c r="L122" i="23" s="1"/>
  <c r="G176" i="23"/>
  <c r="L176" i="23" s="1"/>
  <c r="J108" i="1"/>
  <c r="I30" i="23"/>
  <c r="I29" i="23" s="1"/>
  <c r="G37" i="23"/>
  <c r="L37" i="23" s="1"/>
  <c r="G127" i="23"/>
  <c r="L127" i="23" s="1"/>
  <c r="H41" i="23"/>
  <c r="H210" i="23"/>
  <c r="E723" i="23"/>
  <c r="E722" i="23" s="1"/>
  <c r="G190" i="23"/>
  <c r="L190" i="23" s="1"/>
  <c r="K633" i="23"/>
  <c r="G278" i="23"/>
  <c r="L278" i="23" s="1"/>
  <c r="J81" i="1"/>
  <c r="J80" i="1" s="1"/>
  <c r="G192" i="23"/>
  <c r="L192" i="23" s="1"/>
  <c r="G301" i="23"/>
  <c r="Q301" i="23" s="1"/>
  <c r="L491" i="23"/>
  <c r="E33" i="23"/>
  <c r="G254" i="23"/>
  <c r="L254" i="23" s="1"/>
  <c r="G751" i="23"/>
  <c r="L751" i="23" s="1"/>
  <c r="J85" i="1"/>
  <c r="G967" i="23"/>
  <c r="G162" i="23"/>
  <c r="L162" i="23" s="1"/>
  <c r="G166" i="23"/>
  <c r="L166" i="23" s="1"/>
  <c r="Q488" i="23"/>
  <c r="I104" i="1"/>
  <c r="H35" i="23"/>
  <c r="G98" i="23"/>
  <c r="L98" i="23" s="1"/>
  <c r="G159" i="23"/>
  <c r="L159" i="23" s="1"/>
  <c r="I677" i="23"/>
  <c r="I675" i="23" s="1"/>
  <c r="J84" i="1"/>
  <c r="H30" i="23"/>
  <c r="H29" i="23" s="1"/>
  <c r="I41" i="23"/>
  <c r="Q61" i="23"/>
  <c r="G86" i="23"/>
  <c r="L86" i="23" s="1"/>
  <c r="H98" i="23"/>
  <c r="H174" i="23"/>
  <c r="F187" i="23"/>
  <c r="G207" i="23"/>
  <c r="G230" i="23"/>
  <c r="L230" i="23" s="1"/>
  <c r="Q332" i="23"/>
  <c r="F1043" i="23"/>
  <c r="G517" i="23"/>
  <c r="L517" i="23" s="1"/>
  <c r="J675" i="23"/>
  <c r="J1043" i="23"/>
  <c r="J1040" i="23" s="1"/>
  <c r="G47" i="23"/>
  <c r="L47" i="23" s="1"/>
  <c r="G59" i="23"/>
  <c r="L59" i="23" s="1"/>
  <c r="G63" i="23"/>
  <c r="L63" i="23" s="1"/>
  <c r="H97" i="23"/>
  <c r="H172" i="23"/>
  <c r="G180" i="23"/>
  <c r="L180" i="23" s="1"/>
  <c r="G211" i="23"/>
  <c r="L211" i="23" s="1"/>
  <c r="G297" i="23"/>
  <c r="K297" i="23" s="1"/>
  <c r="E975" i="23"/>
  <c r="G1044" i="23"/>
  <c r="L1044" i="23" s="1"/>
  <c r="C66" i="1"/>
  <c r="I66" i="1" s="1"/>
  <c r="K66" i="1" s="1"/>
  <c r="G134" i="23"/>
  <c r="L134" i="23" s="1"/>
  <c r="G146" i="23"/>
  <c r="L146" i="23" s="1"/>
  <c r="G174" i="23"/>
  <c r="L174" i="23" s="1"/>
  <c r="G182" i="23"/>
  <c r="L182" i="23" s="1"/>
  <c r="G188" i="23"/>
  <c r="L188" i="23" s="1"/>
  <c r="E231" i="23"/>
  <c r="H248" i="23"/>
  <c r="G293" i="23"/>
  <c r="Q293" i="23" s="1"/>
  <c r="G650" i="23"/>
  <c r="Q650" i="23" s="1"/>
  <c r="G911" i="23"/>
  <c r="K911" i="23" s="1"/>
  <c r="Q463" i="23"/>
  <c r="Q661" i="23"/>
  <c r="F731" i="23"/>
  <c r="F708" i="23" s="1"/>
  <c r="Q897" i="23"/>
  <c r="F69" i="23"/>
  <c r="F33" i="23"/>
  <c r="H112" i="23"/>
  <c r="J193" i="23"/>
  <c r="G289" i="23"/>
  <c r="L414" i="23"/>
  <c r="F735" i="23"/>
  <c r="J87" i="1"/>
  <c r="J88" i="1"/>
  <c r="I172" i="23"/>
  <c r="C67" i="1"/>
  <c r="I67" i="1" s="1"/>
  <c r="K67" i="1" s="1"/>
  <c r="H22" i="23"/>
  <c r="I112" i="23"/>
  <c r="G153" i="23"/>
  <c r="L153" i="23" s="1"/>
  <c r="Q564" i="23"/>
  <c r="G933" i="23"/>
  <c r="L933" i="23" s="1"/>
  <c r="I414" i="23"/>
  <c r="J414" i="23" s="1"/>
  <c r="J134" i="23" s="1"/>
  <c r="H134" i="23"/>
  <c r="J445" i="23"/>
  <c r="J210" i="23" s="1"/>
  <c r="J206" i="23" s="1"/>
  <c r="I210" i="23"/>
  <c r="I206" i="23" s="1"/>
  <c r="L547" i="23"/>
  <c r="G237" i="23"/>
  <c r="K237" i="23" s="1"/>
  <c r="K547" i="23"/>
  <c r="K874" i="23"/>
  <c r="G873" i="23"/>
  <c r="L873" i="23" s="1"/>
  <c r="J127" i="23"/>
  <c r="J125" i="23" s="1"/>
  <c r="G179" i="23"/>
  <c r="L179" i="23" s="1"/>
  <c r="J313" i="23"/>
  <c r="J21" i="23" s="1"/>
  <c r="J19" i="23" s="1"/>
  <c r="H21" i="23"/>
  <c r="H19" i="23" s="1"/>
  <c r="K320" i="23"/>
  <c r="L320" i="23"/>
  <c r="G28" i="23"/>
  <c r="K28" i="23" s="1"/>
  <c r="G319" i="23"/>
  <c r="L319" i="23" s="1"/>
  <c r="Q395" i="23"/>
  <c r="L395" i="23"/>
  <c r="Q416" i="23"/>
  <c r="G136" i="23"/>
  <c r="L136" i="23" s="1"/>
  <c r="K435" i="23"/>
  <c r="Q435" i="23"/>
  <c r="G185" i="23"/>
  <c r="L185" i="23" s="1"/>
  <c r="Q591" i="23"/>
  <c r="K591" i="23"/>
  <c r="G589" i="23"/>
  <c r="L589" i="23" s="1"/>
  <c r="G281" i="23"/>
  <c r="K281" i="23" s="1"/>
  <c r="G107" i="23"/>
  <c r="L107" i="23" s="1"/>
  <c r="H108" i="23"/>
  <c r="H111" i="23"/>
  <c r="I113" i="23"/>
  <c r="H175" i="23"/>
  <c r="H179" i="23"/>
  <c r="I22" i="23"/>
  <c r="L350" i="23"/>
  <c r="Q350" i="23"/>
  <c r="G58" i="23"/>
  <c r="L58" i="23" s="1"/>
  <c r="K350" i="23"/>
  <c r="I381" i="23"/>
  <c r="I90" i="23" s="1"/>
  <c r="H90" i="23"/>
  <c r="K484" i="23"/>
  <c r="G152" i="23"/>
  <c r="L152" i="23" s="1"/>
  <c r="L484" i="23"/>
  <c r="Q484" i="23"/>
  <c r="K533" i="23"/>
  <c r="G223" i="23"/>
  <c r="L223" i="23" s="1"/>
  <c r="Q582" i="23"/>
  <c r="G272" i="23"/>
  <c r="L272" i="23" s="1"/>
  <c r="L726" i="23"/>
  <c r="Q726" i="23"/>
  <c r="H769" i="23"/>
  <c r="E132" i="23"/>
  <c r="E131" i="23" s="1"/>
  <c r="I217" i="23"/>
  <c r="G219" i="23"/>
  <c r="Q219" i="23" s="1"/>
  <c r="F235" i="23"/>
  <c r="I243" i="23"/>
  <c r="G247" i="23"/>
  <c r="Q247" i="23" s="1"/>
  <c r="G251" i="23"/>
  <c r="Q251" i="23" s="1"/>
  <c r="G265" i="23"/>
  <c r="G264" i="23" s="1"/>
  <c r="J326" i="23"/>
  <c r="I34" i="23"/>
  <c r="L347" i="23"/>
  <c r="Q347" i="23"/>
  <c r="K8" i="23"/>
  <c r="K380" i="23"/>
  <c r="G89" i="23"/>
  <c r="L89" i="23" s="1"/>
  <c r="L380" i="23"/>
  <c r="H441" i="23"/>
  <c r="H207" i="23"/>
  <c r="I762" i="23"/>
  <c r="J762" i="23" s="1"/>
  <c r="H759" i="23"/>
  <c r="E227" i="23"/>
  <c r="J227" i="23"/>
  <c r="H243" i="23"/>
  <c r="G296" i="23"/>
  <c r="L296" i="23" s="1"/>
  <c r="H396" i="23"/>
  <c r="L518" i="23"/>
  <c r="K551" i="23"/>
  <c r="K969" i="23"/>
  <c r="J109" i="1"/>
  <c r="E124" i="23"/>
  <c r="F151" i="23"/>
  <c r="J160" i="23"/>
  <c r="G205" i="23"/>
  <c r="L205" i="23" s="1"/>
  <c r="E69" i="23"/>
  <c r="H165" i="23"/>
  <c r="G220" i="23"/>
  <c r="L220" i="23" s="1"/>
  <c r="G276" i="23"/>
  <c r="L276" i="23" s="1"/>
  <c r="Q518" i="23"/>
  <c r="Q598" i="23"/>
  <c r="I697" i="23"/>
  <c r="I738" i="23"/>
  <c r="I784" i="23"/>
  <c r="K943" i="23"/>
  <c r="Q961" i="23"/>
  <c r="L969" i="23"/>
  <c r="F975" i="23"/>
  <c r="K1022" i="23"/>
  <c r="L1046" i="23"/>
  <c r="J402" i="23"/>
  <c r="J111" i="23" s="1"/>
  <c r="I111" i="23"/>
  <c r="K359" i="23"/>
  <c r="G68" i="23"/>
  <c r="G67" i="23" s="1"/>
  <c r="C31" i="1" s="1"/>
  <c r="I31" i="1" s="1"/>
  <c r="K31" i="1" s="1"/>
  <c r="Q359" i="23"/>
  <c r="K361" i="23"/>
  <c r="L361" i="23"/>
  <c r="K383" i="23"/>
  <c r="G382" i="23"/>
  <c r="L382" i="23" s="1"/>
  <c r="K387" i="23"/>
  <c r="L387" i="23"/>
  <c r="Q399" i="23"/>
  <c r="G108" i="23"/>
  <c r="L108" i="23" s="1"/>
  <c r="K568" i="23"/>
  <c r="G258" i="23"/>
  <c r="L258" i="23" s="1"/>
  <c r="L749" i="23"/>
  <c r="Q749" i="23"/>
  <c r="Q823" i="23"/>
  <c r="K823" i="23"/>
  <c r="K994" i="23"/>
  <c r="L994" i="23"/>
  <c r="J30" i="1"/>
  <c r="J29" i="1" s="1"/>
  <c r="J20" i="1" s="1"/>
  <c r="G70" i="23"/>
  <c r="K70" i="23" s="1"/>
  <c r="I97" i="23"/>
  <c r="H99" i="23"/>
  <c r="H103" i="23"/>
  <c r="H102" i="23" s="1"/>
  <c r="H227" i="23"/>
  <c r="G262" i="23"/>
  <c r="L262" i="23" s="1"/>
  <c r="I359" i="23"/>
  <c r="J359" i="23" s="1"/>
  <c r="J358" i="23" s="1"/>
  <c r="H358" i="23"/>
  <c r="I383" i="23"/>
  <c r="J383" i="23" s="1"/>
  <c r="H92" i="23"/>
  <c r="H91" i="23" s="1"/>
  <c r="G121" i="23"/>
  <c r="L121" i="23" s="1"/>
  <c r="K459" i="23"/>
  <c r="Q515" i="23"/>
  <c r="G202" i="23"/>
  <c r="L202" i="23" s="1"/>
  <c r="Q528" i="23"/>
  <c r="G218" i="23"/>
  <c r="L218" i="23" s="1"/>
  <c r="L548" i="23"/>
  <c r="Q548" i="23"/>
  <c r="G238" i="23"/>
  <c r="L238" i="23" s="1"/>
  <c r="K548" i="23"/>
  <c r="K559" i="23"/>
  <c r="G249" i="23"/>
  <c r="L565" i="23"/>
  <c r="Q565" i="23"/>
  <c r="J728" i="23"/>
  <c r="J727" i="23" s="1"/>
  <c r="F723" i="23"/>
  <c r="F722" i="23" s="1"/>
  <c r="F727" i="23"/>
  <c r="K760" i="23"/>
  <c r="L760" i="23"/>
  <c r="H938" i="23"/>
  <c r="H937" i="23" s="1"/>
  <c r="K956" i="23"/>
  <c r="Q956" i="23"/>
  <c r="Q1052" i="23"/>
  <c r="K1052" i="23"/>
  <c r="H28" i="23"/>
  <c r="H27" i="23" s="1"/>
  <c r="H26" i="23" s="1"/>
  <c r="G167" i="23"/>
  <c r="L167" i="23" s="1"/>
  <c r="J239" i="23"/>
  <c r="K365" i="23"/>
  <c r="G74" i="23"/>
  <c r="L74" i="23" s="1"/>
  <c r="K400" i="23"/>
  <c r="G109" i="23"/>
  <c r="K109" i="23" s="1"/>
  <c r="I417" i="23"/>
  <c r="H140" i="23"/>
  <c r="J424" i="23"/>
  <c r="J174" i="23" s="1"/>
  <c r="I174" i="23"/>
  <c r="I432" i="23"/>
  <c r="H182" i="23"/>
  <c r="K437" i="23"/>
  <c r="K487" i="23"/>
  <c r="G155" i="23"/>
  <c r="L155" i="23" s="1"/>
  <c r="K500" i="23"/>
  <c r="G168" i="23"/>
  <c r="L168" i="23" s="1"/>
  <c r="L528" i="23"/>
  <c r="K536" i="23"/>
  <c r="G226" i="23"/>
  <c r="L226" i="23" s="1"/>
  <c r="Q539" i="23"/>
  <c r="G229" i="23"/>
  <c r="L229" i="23" s="1"/>
  <c r="G232" i="23"/>
  <c r="Q542" i="23"/>
  <c r="G562" i="23"/>
  <c r="Q562" i="23" s="1"/>
  <c r="L563" i="23"/>
  <c r="Q563" i="23"/>
  <c r="L592" i="23"/>
  <c r="Q592" i="23"/>
  <c r="K592" i="23"/>
  <c r="K1021" i="23"/>
  <c r="G1023" i="23"/>
  <c r="L1023" i="23" s="1"/>
  <c r="G24" i="23"/>
  <c r="L24" i="23" s="1"/>
  <c r="G35" i="23"/>
  <c r="L35" i="23" s="1"/>
  <c r="H38" i="23"/>
  <c r="G77" i="23"/>
  <c r="L77" i="23" s="1"/>
  <c r="G80" i="23"/>
  <c r="H84" i="23"/>
  <c r="K91" i="23"/>
  <c r="G95" i="23"/>
  <c r="L95" i="23" s="1"/>
  <c r="I135" i="23"/>
  <c r="G149" i="23"/>
  <c r="L149" i="23" s="1"/>
  <c r="J165" i="23"/>
  <c r="G199" i="23"/>
  <c r="L199" i="23" s="1"/>
  <c r="F222" i="23"/>
  <c r="J222" i="23"/>
  <c r="G234" i="23"/>
  <c r="L234" i="23" s="1"/>
  <c r="E235" i="23"/>
  <c r="G253" i="23"/>
  <c r="G255" i="23"/>
  <c r="Q255" i="23" s="1"/>
  <c r="K331" i="23"/>
  <c r="L331" i="23"/>
  <c r="Q354" i="23"/>
  <c r="G358" i="23"/>
  <c r="L358" i="23" s="1"/>
  <c r="L425" i="23"/>
  <c r="G175" i="23"/>
  <c r="L175" i="23" s="1"/>
  <c r="L427" i="23"/>
  <c r="G177" i="23"/>
  <c r="L177" i="23" s="1"/>
  <c r="Q433" i="23"/>
  <c r="G183" i="23"/>
  <c r="L183" i="23" s="1"/>
  <c r="K434" i="23"/>
  <c r="L434" i="23"/>
  <c r="L465" i="23"/>
  <c r="G128" i="23"/>
  <c r="L128" i="23" s="1"/>
  <c r="K471" i="23"/>
  <c r="G138" i="23"/>
  <c r="L138" i="23" s="1"/>
  <c r="Q471" i="23"/>
  <c r="L482" i="23"/>
  <c r="G150" i="23"/>
  <c r="L150" i="23" s="1"/>
  <c r="Q487" i="23"/>
  <c r="Q493" i="23"/>
  <c r="K493" i="23"/>
  <c r="Q571" i="23"/>
  <c r="G261" i="23"/>
  <c r="L261" i="23" s="1"/>
  <c r="Q578" i="23"/>
  <c r="G268" i="23"/>
  <c r="L268" i="23" s="1"/>
  <c r="Q590" i="23"/>
  <c r="G280" i="23"/>
  <c r="L280" i="23" s="1"/>
  <c r="K590" i="23"/>
  <c r="E693" i="23"/>
  <c r="L714" i="23"/>
  <c r="Q714" i="23"/>
  <c r="K714" i="23"/>
  <c r="G1014" i="23"/>
  <c r="L1014" i="23" s="1"/>
  <c r="I252" i="23"/>
  <c r="E298" i="23"/>
  <c r="I314" i="23"/>
  <c r="I310" i="23" s="1"/>
  <c r="Q320" i="23"/>
  <c r="J476" i="23"/>
  <c r="J475" i="23" s="1"/>
  <c r="J474" i="23" s="1"/>
  <c r="J473" i="23" s="1"/>
  <c r="G577" i="23"/>
  <c r="K577" i="23" s="1"/>
  <c r="F648" i="23"/>
  <c r="F675" i="23"/>
  <c r="Q753" i="23"/>
  <c r="H856" i="23"/>
  <c r="H1043" i="23"/>
  <c r="H1040" i="23" s="1"/>
  <c r="H160" i="23"/>
  <c r="I193" i="23"/>
  <c r="E22" i="23"/>
  <c r="K112" i="23"/>
  <c r="K170" i="23"/>
  <c r="F193" i="23"/>
  <c r="H252" i="23"/>
  <c r="J22" i="23"/>
  <c r="H407" i="23"/>
  <c r="F421" i="23"/>
  <c r="F420" i="23" s="1"/>
  <c r="F419" i="23" s="1"/>
  <c r="F418" i="23" s="1"/>
  <c r="Q606" i="23"/>
  <c r="Q626" i="23"/>
  <c r="E649" i="23"/>
  <c r="J736" i="23"/>
  <c r="J735" i="23" s="1"/>
  <c r="L742" i="23"/>
  <c r="G884" i="23"/>
  <c r="Q884" i="23" s="1"/>
  <c r="G886" i="23"/>
  <c r="L886" i="23" s="1"/>
  <c r="Q993" i="23"/>
  <c r="Q633" i="23"/>
  <c r="F102" i="23"/>
  <c r="H217" i="23"/>
  <c r="I329" i="23"/>
  <c r="J329" i="23" s="1"/>
  <c r="J40" i="23" s="1"/>
  <c r="H40" i="23"/>
  <c r="L346" i="23"/>
  <c r="K346" i="23"/>
  <c r="Q346" i="23"/>
  <c r="I387" i="23"/>
  <c r="I385" i="23" s="1"/>
  <c r="H96" i="23"/>
  <c r="J394" i="23"/>
  <c r="J103" i="23" s="1"/>
  <c r="I103" i="23"/>
  <c r="K490" i="23"/>
  <c r="Q490" i="23"/>
  <c r="L490" i="23"/>
  <c r="G158" i="23"/>
  <c r="L158" i="23" s="1"/>
  <c r="Q496" i="23"/>
  <c r="L496" i="23"/>
  <c r="K496" i="23"/>
  <c r="I700" i="23"/>
  <c r="J701" i="23"/>
  <c r="J700" i="23" s="1"/>
  <c r="K724" i="23"/>
  <c r="Q724" i="23"/>
  <c r="L724" i="23"/>
  <c r="K758" i="23"/>
  <c r="L758" i="23"/>
  <c r="L780" i="23"/>
  <c r="Q780" i="23"/>
  <c r="Q818" i="23"/>
  <c r="K818" i="23"/>
  <c r="E841" i="23"/>
  <c r="G842" i="23"/>
  <c r="K842" i="23" s="1"/>
  <c r="L846" i="23"/>
  <c r="G844" i="23"/>
  <c r="L844" i="23" s="1"/>
  <c r="L892" i="23"/>
  <c r="G889" i="23"/>
  <c r="L889" i="23" s="1"/>
  <c r="G21" i="23"/>
  <c r="G19" i="23" s="1"/>
  <c r="C25" i="1" s="1"/>
  <c r="Q313" i="23"/>
  <c r="K927" i="23"/>
  <c r="L927" i="23"/>
  <c r="H74" i="23"/>
  <c r="H73" i="23" s="1"/>
  <c r="H256" i="23"/>
  <c r="K312" i="23"/>
  <c r="L312" i="23"/>
  <c r="I312" i="23"/>
  <c r="L34" i="23"/>
  <c r="L343" i="23"/>
  <c r="Q343" i="23"/>
  <c r="G51" i="23"/>
  <c r="L51" i="23" s="1"/>
  <c r="L600" i="23"/>
  <c r="Q600" i="23"/>
  <c r="K600" i="23"/>
  <c r="K194" i="23"/>
  <c r="E193" i="23"/>
  <c r="I982" i="23"/>
  <c r="G981" i="23"/>
  <c r="L981" i="23" s="1"/>
  <c r="J1032" i="23"/>
  <c r="J1003" i="23" s="1"/>
  <c r="H1003" i="23"/>
  <c r="F36" i="23"/>
  <c r="G54" i="23"/>
  <c r="L54" i="23" s="1"/>
  <c r="H101" i="23"/>
  <c r="F105" i="23"/>
  <c r="H125" i="23"/>
  <c r="F227" i="23"/>
  <c r="K479" i="23"/>
  <c r="Q479" i="23"/>
  <c r="L479" i="23"/>
  <c r="K509" i="23"/>
  <c r="Q509" i="23"/>
  <c r="L509" i="23"/>
  <c r="Q682" i="23"/>
  <c r="L682" i="23"/>
  <c r="K682" i="23"/>
  <c r="G678" i="23"/>
  <c r="Q678" i="23" s="1"/>
  <c r="K882" i="23"/>
  <c r="Q882" i="23"/>
  <c r="L882" i="23"/>
  <c r="H37" i="23"/>
  <c r="H39" i="23"/>
  <c r="G45" i="23"/>
  <c r="L45" i="23" s="1"/>
  <c r="F48" i="23"/>
  <c r="F44" i="23" s="1"/>
  <c r="F43" i="23" s="1"/>
  <c r="K55" i="23"/>
  <c r="F94" i="23"/>
  <c r="K101" i="23"/>
  <c r="F110" i="23"/>
  <c r="H118" i="23"/>
  <c r="E125" i="23"/>
  <c r="K129" i="23"/>
  <c r="J151" i="23"/>
  <c r="Q157" i="23"/>
  <c r="F160" i="23"/>
  <c r="K164" i="23"/>
  <c r="Q172" i="23"/>
  <c r="H177" i="23"/>
  <c r="H193" i="23"/>
  <c r="K198" i="23"/>
  <c r="K210" i="23"/>
  <c r="I227" i="23"/>
  <c r="F231" i="23"/>
  <c r="Q241" i="23"/>
  <c r="E248" i="23"/>
  <c r="I248" i="23"/>
  <c r="E252" i="23"/>
  <c r="G321" i="23"/>
  <c r="Q321" i="23" s="1"/>
  <c r="Q331" i="23"/>
  <c r="K342" i="23"/>
  <c r="Q355" i="23"/>
  <c r="K880" i="23"/>
  <c r="L880" i="23"/>
  <c r="K894" i="23"/>
  <c r="Q894" i="23"/>
  <c r="L894" i="23"/>
  <c r="K965" i="23"/>
  <c r="Q965" i="23"/>
  <c r="L965" i="23"/>
  <c r="E938" i="23"/>
  <c r="I256" i="23"/>
  <c r="F287" i="23"/>
  <c r="F298" i="23"/>
  <c r="K405" i="23"/>
  <c r="Q405" i="23"/>
  <c r="L405" i="23"/>
  <c r="Q583" i="23"/>
  <c r="L583" i="23"/>
  <c r="H685" i="23"/>
  <c r="J833" i="23"/>
  <c r="J832" i="23" s="1"/>
  <c r="G833" i="23"/>
  <c r="Q833" i="23" s="1"/>
  <c r="K992" i="23"/>
  <c r="I992" i="23"/>
  <c r="H34" i="23"/>
  <c r="I37" i="23"/>
  <c r="K40" i="23"/>
  <c r="Q49" i="23"/>
  <c r="K99" i="23"/>
  <c r="E102" i="23"/>
  <c r="K114" i="23"/>
  <c r="G115" i="23"/>
  <c r="L115" i="23" s="1"/>
  <c r="H124" i="23"/>
  <c r="K135" i="23"/>
  <c r="K139" i="23"/>
  <c r="G147" i="23"/>
  <c r="L147" i="23" s="1"/>
  <c r="H151" i="23"/>
  <c r="I160" i="23"/>
  <c r="F165" i="23"/>
  <c r="G189" i="23"/>
  <c r="L189" i="23" s="1"/>
  <c r="G193" i="23"/>
  <c r="L193" i="23" s="1"/>
  <c r="Q233" i="23"/>
  <c r="E260" i="23"/>
  <c r="F283" i="23"/>
  <c r="H314" i="23"/>
  <c r="H310" i="23" s="1"/>
  <c r="L322" i="23"/>
  <c r="Q342" i="23"/>
  <c r="Q351" i="23"/>
  <c r="K354" i="23"/>
  <c r="K390" i="23"/>
  <c r="Q390" i="23"/>
  <c r="Q467" i="23"/>
  <c r="L467" i="23"/>
  <c r="K467" i="23"/>
  <c r="L511" i="23"/>
  <c r="Q511" i="23"/>
  <c r="Q520" i="23"/>
  <c r="G581" i="23"/>
  <c r="L581" i="23" s="1"/>
  <c r="F834" i="23"/>
  <c r="F832" i="23" s="1"/>
  <c r="F829" i="23"/>
  <c r="F828" i="23" s="1"/>
  <c r="Q919" i="23"/>
  <c r="K919" i="23"/>
  <c r="K960" i="23"/>
  <c r="L960" i="23"/>
  <c r="H981" i="23"/>
  <c r="J983" i="23"/>
  <c r="J981" i="23" s="1"/>
  <c r="F1033" i="23"/>
  <c r="H1033" i="23" s="1"/>
  <c r="J1033" i="23" s="1"/>
  <c r="H1034" i="23"/>
  <c r="J1034" i="23" s="1"/>
  <c r="I364" i="23"/>
  <c r="I363" i="23" s="1"/>
  <c r="G379" i="23"/>
  <c r="K379" i="23" s="1"/>
  <c r="I407" i="23"/>
  <c r="Q414" i="23"/>
  <c r="K425" i="23"/>
  <c r="L426" i="23"/>
  <c r="L430" i="23"/>
  <c r="Q434" i="23"/>
  <c r="L437" i="23"/>
  <c r="H462" i="23"/>
  <c r="H461" i="23" s="1"/>
  <c r="Q491" i="23"/>
  <c r="L493" i="23"/>
  <c r="G497" i="23"/>
  <c r="L497" i="23" s="1"/>
  <c r="J526" i="23"/>
  <c r="Q547" i="23"/>
  <c r="L590" i="23"/>
  <c r="L591" i="23"/>
  <c r="H621" i="23"/>
  <c r="H620" i="23" s="1"/>
  <c r="H619" i="23" s="1"/>
  <c r="F684" i="23"/>
  <c r="L690" i="23"/>
  <c r="Q729" i="23"/>
  <c r="H841" i="23"/>
  <c r="I844" i="23"/>
  <c r="I847" i="23"/>
  <c r="Q872" i="23"/>
  <c r="L943" i="23"/>
  <c r="I938" i="23"/>
  <c r="I937" i="23" s="1"/>
  <c r="Q994" i="23"/>
  <c r="Q1013" i="23"/>
  <c r="L1021" i="23"/>
  <c r="L1022" i="23"/>
  <c r="Q386" i="23"/>
  <c r="L424" i="23"/>
  <c r="Q425" i="23"/>
  <c r="Q426" i="23"/>
  <c r="Q427" i="23"/>
  <c r="Q430" i="23"/>
  <c r="K463" i="23"/>
  <c r="I476" i="23"/>
  <c r="I475" i="23" s="1"/>
  <c r="I474" i="23" s="1"/>
  <c r="I473" i="23" s="1"/>
  <c r="G514" i="23"/>
  <c r="L529" i="23"/>
  <c r="F526" i="23"/>
  <c r="L544" i="23"/>
  <c r="G545" i="23"/>
  <c r="L545" i="23" s="1"/>
  <c r="L559" i="23"/>
  <c r="K563" i="23"/>
  <c r="K564" i="23"/>
  <c r="K565" i="23"/>
  <c r="K582" i="23"/>
  <c r="K599" i="23"/>
  <c r="K607" i="23"/>
  <c r="H657" i="23"/>
  <c r="K715" i="23"/>
  <c r="Q717" i="23"/>
  <c r="Q777" i="23"/>
  <c r="G794" i="23"/>
  <c r="L794" i="23" s="1"/>
  <c r="K807" i="23"/>
  <c r="F921" i="23"/>
  <c r="J921" i="23" s="1"/>
  <c r="L935" i="23"/>
  <c r="L957" i="23"/>
  <c r="L964" i="23"/>
  <c r="F1003" i="23"/>
  <c r="J1042" i="23"/>
  <c r="Q365" i="23"/>
  <c r="L371" i="23"/>
  <c r="H382" i="23"/>
  <c r="L383" i="23"/>
  <c r="K389" i="23"/>
  <c r="L400" i="23"/>
  <c r="Q408" i="23"/>
  <c r="L487" i="23"/>
  <c r="K514" i="23"/>
  <c r="K528" i="23"/>
  <c r="Q544" i="23"/>
  <c r="Q559" i="23"/>
  <c r="L582" i="23"/>
  <c r="K598" i="23"/>
  <c r="Q599" i="23"/>
  <c r="K606" i="23"/>
  <c r="Q607" i="23"/>
  <c r="L626" i="23"/>
  <c r="I659" i="23"/>
  <c r="J659" i="23" s="1"/>
  <c r="J657" i="23" s="1"/>
  <c r="L757" i="23"/>
  <c r="Q779" i="23"/>
  <c r="Q843" i="23"/>
  <c r="Q845" i="23"/>
  <c r="Q874" i="23"/>
  <c r="L893" i="23"/>
  <c r="K899" i="23"/>
  <c r="L956" i="23"/>
  <c r="Q957" i="23"/>
  <c r="L961" i="23"/>
  <c r="Q964" i="23"/>
  <c r="K968" i="23"/>
  <c r="J362" i="23"/>
  <c r="J71" i="23" s="1"/>
  <c r="I71" i="23"/>
  <c r="K315" i="23"/>
  <c r="Q315" i="23"/>
  <c r="Q525" i="23"/>
  <c r="Q57" i="23"/>
  <c r="H71" i="23"/>
  <c r="H69" i="23" s="1"/>
  <c r="J74" i="23"/>
  <c r="J73" i="23" s="1"/>
  <c r="L96" i="23"/>
  <c r="I101" i="23"/>
  <c r="F200" i="23"/>
  <c r="H235" i="23"/>
  <c r="E239" i="23"/>
  <c r="G245" i="23"/>
  <c r="L245" i="23" s="1"/>
  <c r="K313" i="23"/>
  <c r="I313" i="23"/>
  <c r="I21" i="23" s="1"/>
  <c r="I19" i="23" s="1"/>
  <c r="Q326" i="23"/>
  <c r="K326" i="23"/>
  <c r="L345" i="23"/>
  <c r="Q345" i="23"/>
  <c r="L349" i="23"/>
  <c r="Q349" i="23"/>
  <c r="L353" i="23"/>
  <c r="Q353" i="23"/>
  <c r="K378" i="23"/>
  <c r="Q378" i="23"/>
  <c r="L378" i="23"/>
  <c r="K410" i="23"/>
  <c r="Q410" i="23"/>
  <c r="L410" i="23"/>
  <c r="H181" i="23"/>
  <c r="I431" i="23"/>
  <c r="K439" i="23"/>
  <c r="Q439" i="23"/>
  <c r="L439" i="23"/>
  <c r="K489" i="23"/>
  <c r="Q489" i="23"/>
  <c r="L489" i="23"/>
  <c r="Q495" i="23"/>
  <c r="G163" i="23"/>
  <c r="L163" i="23" s="1"/>
  <c r="L495" i="23"/>
  <c r="K495" i="23"/>
  <c r="E513" i="23"/>
  <c r="E476" i="23" s="1"/>
  <c r="G516" i="23"/>
  <c r="G203" i="23" s="1"/>
  <c r="L203" i="23" s="1"/>
  <c r="L695" i="23"/>
  <c r="Q695" i="23"/>
  <c r="K877" i="23"/>
  <c r="L877" i="23"/>
  <c r="L344" i="23"/>
  <c r="Q344" i="23"/>
  <c r="K344" i="23"/>
  <c r="Q356" i="23"/>
  <c r="L356" i="23"/>
  <c r="K356" i="23"/>
  <c r="K402" i="23"/>
  <c r="Q402" i="23"/>
  <c r="Q531" i="23"/>
  <c r="L531" i="23"/>
  <c r="K531" i="23"/>
  <c r="G23" i="23"/>
  <c r="L23" i="23" s="1"/>
  <c r="H48" i="23"/>
  <c r="H44" i="23" s="1"/>
  <c r="H43" i="23" s="1"/>
  <c r="K57" i="23"/>
  <c r="K71" i="23"/>
  <c r="I84" i="23"/>
  <c r="K97" i="23"/>
  <c r="K100" i="23"/>
  <c r="E105" i="23"/>
  <c r="E118" i="23"/>
  <c r="K130" i="23"/>
  <c r="K140" i="23"/>
  <c r="I165" i="23"/>
  <c r="E204" i="23"/>
  <c r="H211" i="23"/>
  <c r="I231" i="23"/>
  <c r="I235" i="23"/>
  <c r="F239" i="23"/>
  <c r="E256" i="23"/>
  <c r="G325" i="23"/>
  <c r="K325" i="23" s="1"/>
  <c r="K345" i="23"/>
  <c r="K349" i="23"/>
  <c r="K353" i="23"/>
  <c r="I380" i="23"/>
  <c r="I89" i="23" s="1"/>
  <c r="I88" i="23" s="1"/>
  <c r="H379" i="23"/>
  <c r="H374" i="23" s="1"/>
  <c r="G169" i="23"/>
  <c r="L169" i="23" s="1"/>
  <c r="K501" i="23"/>
  <c r="L546" i="23"/>
  <c r="G236" i="23"/>
  <c r="Q546" i="23"/>
  <c r="K546" i="23"/>
  <c r="L659" i="23"/>
  <c r="G657" i="23"/>
  <c r="L657" i="23" s="1"/>
  <c r="Q659" i="23"/>
  <c r="G651" i="23"/>
  <c r="L315" i="23"/>
  <c r="Q327" i="23"/>
  <c r="L348" i="23"/>
  <c r="Q348" i="23"/>
  <c r="K348" i="23"/>
  <c r="L352" i="23"/>
  <c r="Q352" i="23"/>
  <c r="K352" i="23"/>
  <c r="K535" i="23"/>
  <c r="G532" i="23"/>
  <c r="L532" i="23" s="1"/>
  <c r="J753" i="23"/>
  <c r="K34" i="23"/>
  <c r="E36" i="23"/>
  <c r="G38" i="23"/>
  <c r="L38" i="23" s="1"/>
  <c r="G52" i="23"/>
  <c r="K56" i="23"/>
  <c r="G60" i="23"/>
  <c r="L60" i="23" s="1"/>
  <c r="K61" i="23"/>
  <c r="G64" i="23"/>
  <c r="L64" i="23" s="1"/>
  <c r="K92" i="23"/>
  <c r="K96" i="23"/>
  <c r="K116" i="23"/>
  <c r="J118" i="23"/>
  <c r="L161" i="23"/>
  <c r="K181" i="23"/>
  <c r="L194" i="23"/>
  <c r="K196" i="23"/>
  <c r="G221" i="23"/>
  <c r="L221" i="23" s="1"/>
  <c r="I222" i="23"/>
  <c r="J231" i="23"/>
  <c r="K233" i="23"/>
  <c r="L233" i="23"/>
  <c r="J235" i="23"/>
  <c r="G269" i="23"/>
  <c r="L313" i="23"/>
  <c r="J314" i="23"/>
  <c r="J310" i="23" s="1"/>
  <c r="L326" i="23"/>
  <c r="L327" i="23"/>
  <c r="G357" i="23"/>
  <c r="L357" i="23" s="1"/>
  <c r="F334" i="23"/>
  <c r="L402" i="23"/>
  <c r="I423" i="23"/>
  <c r="H421" i="23"/>
  <c r="H420" i="23" s="1"/>
  <c r="J429" i="23"/>
  <c r="J179" i="23" s="1"/>
  <c r="I179" i="23"/>
  <c r="K444" i="23"/>
  <c r="G209" i="23"/>
  <c r="K209" i="23" s="1"/>
  <c r="Q444" i="23"/>
  <c r="L444" i="23"/>
  <c r="K472" i="23"/>
  <c r="L472" i="23"/>
  <c r="Q472" i="23"/>
  <c r="K486" i="23"/>
  <c r="G154" i="23"/>
  <c r="L154" i="23" s="1"/>
  <c r="Q486" i="23"/>
  <c r="L486" i="23"/>
  <c r="Q387" i="23"/>
  <c r="K391" i="23"/>
  <c r="Q391" i="23"/>
  <c r="L391" i="23"/>
  <c r="Q400" i="23"/>
  <c r="L409" i="23"/>
  <c r="G407" i="23"/>
  <c r="L407" i="23" s="1"/>
  <c r="K417" i="23"/>
  <c r="Q417" i="23"/>
  <c r="Q456" i="23"/>
  <c r="K456" i="23"/>
  <c r="L464" i="23"/>
  <c r="K510" i="23"/>
  <c r="L510" i="23"/>
  <c r="K543" i="23"/>
  <c r="Q543" i="23"/>
  <c r="K560" i="23"/>
  <c r="L560" i="23"/>
  <c r="H652" i="23"/>
  <c r="H650" i="23"/>
  <c r="K713" i="23"/>
  <c r="L713" i="23"/>
  <c r="K795" i="23"/>
  <c r="Q795" i="23"/>
  <c r="L795" i="23"/>
  <c r="Q824" i="23"/>
  <c r="K824" i="23"/>
  <c r="L824" i="23"/>
  <c r="G822" i="23"/>
  <c r="Q822" i="23" s="1"/>
  <c r="F910" i="23"/>
  <c r="J910" i="23" s="1"/>
  <c r="K915" i="23"/>
  <c r="Q915" i="23"/>
  <c r="L915" i="23"/>
  <c r="J985" i="23"/>
  <c r="J984" i="23" s="1"/>
  <c r="H984" i="23"/>
  <c r="H976" i="23"/>
  <c r="H239" i="23"/>
  <c r="K246" i="23"/>
  <c r="J243" i="23"/>
  <c r="K250" i="23"/>
  <c r="J256" i="23"/>
  <c r="H260" i="23"/>
  <c r="K290" i="23"/>
  <c r="Q361" i="23"/>
  <c r="K399" i="23"/>
  <c r="L399" i="23"/>
  <c r="G406" i="23"/>
  <c r="Q406" i="23" s="1"/>
  <c r="E401" i="23"/>
  <c r="E384" i="23" s="1"/>
  <c r="K409" i="23"/>
  <c r="K422" i="23"/>
  <c r="Q422" i="23"/>
  <c r="L422" i="23"/>
  <c r="K445" i="23"/>
  <c r="Q445" i="23"/>
  <c r="L445" i="23"/>
  <c r="L456" i="23"/>
  <c r="Q464" i="23"/>
  <c r="L478" i="23"/>
  <c r="K482" i="23"/>
  <c r="Q482" i="23"/>
  <c r="G483" i="23"/>
  <c r="K483" i="23" s="1"/>
  <c r="L485" i="23"/>
  <c r="K488" i="23"/>
  <c r="L488" i="23"/>
  <c r="G492" i="23"/>
  <c r="L492" i="23" s="1"/>
  <c r="K494" i="23"/>
  <c r="Q510" i="23"/>
  <c r="K515" i="23"/>
  <c r="K530" i="23"/>
  <c r="I526" i="23"/>
  <c r="L543" i="23"/>
  <c r="Q560" i="23"/>
  <c r="Q580" i="23"/>
  <c r="K584" i="23"/>
  <c r="G608" i="23"/>
  <c r="L608" i="23" s="1"/>
  <c r="Q609" i="23"/>
  <c r="Q641" i="23"/>
  <c r="L641" i="23"/>
  <c r="K641" i="23"/>
  <c r="I780" i="23"/>
  <c r="J780" i="23" s="1"/>
  <c r="J778" i="23" s="1"/>
  <c r="H778" i="23"/>
  <c r="Q887" i="23"/>
  <c r="K887" i="23"/>
  <c r="Q942" i="23"/>
  <c r="K942" i="23"/>
  <c r="G940" i="23"/>
  <c r="L940" i="23" s="1"/>
  <c r="L942" i="23"/>
  <c r="F1007" i="23"/>
  <c r="F1002" i="23"/>
  <c r="Q1035" i="23"/>
  <c r="K148" i="23"/>
  <c r="I151" i="23"/>
  <c r="K156" i="23"/>
  <c r="K161" i="23"/>
  <c r="K184" i="23"/>
  <c r="K191" i="23"/>
  <c r="K195" i="23"/>
  <c r="H231" i="23"/>
  <c r="I239" i="23"/>
  <c r="K241" i="23"/>
  <c r="L241" i="23"/>
  <c r="F256" i="23"/>
  <c r="I260" i="23"/>
  <c r="G274" i="23"/>
  <c r="L274" i="23" s="1"/>
  <c r="G285" i="23"/>
  <c r="Q285" i="23" s="1"/>
  <c r="F291" i="23"/>
  <c r="F295" i="23"/>
  <c r="Q312" i="23"/>
  <c r="L337" i="23"/>
  <c r="G340" i="23"/>
  <c r="G48" i="23" s="1"/>
  <c r="L48" i="23" s="1"/>
  <c r="K343" i="23"/>
  <c r="K347" i="23"/>
  <c r="K351" i="23"/>
  <c r="K355" i="23"/>
  <c r="I361" i="23"/>
  <c r="H360" i="23"/>
  <c r="K368" i="23"/>
  <c r="L368" i="23"/>
  <c r="F373" i="23"/>
  <c r="K381" i="23"/>
  <c r="L381" i="23"/>
  <c r="L390" i="23"/>
  <c r="H401" i="23"/>
  <c r="Q409" i="23"/>
  <c r="J407" i="23"/>
  <c r="L417" i="23"/>
  <c r="L423" i="23"/>
  <c r="Q423" i="23"/>
  <c r="L435" i="23"/>
  <c r="I454" i="23"/>
  <c r="I453" i="23" s="1"/>
  <c r="I448" i="23" s="1"/>
  <c r="L460" i="23"/>
  <c r="Q460" i="23"/>
  <c r="Q478" i="23"/>
  <c r="Q485" i="23"/>
  <c r="L494" i="23"/>
  <c r="F476" i="23"/>
  <c r="F475" i="23" s="1"/>
  <c r="F474" i="23" s="1"/>
  <c r="F473" i="23" s="1"/>
  <c r="G527" i="23"/>
  <c r="L527" i="23" s="1"/>
  <c r="K529" i="23"/>
  <c r="L530" i="23"/>
  <c r="K542" i="23"/>
  <c r="L542" i="23"/>
  <c r="G549" i="23"/>
  <c r="L549" i="23" s="1"/>
  <c r="K561" i="23"/>
  <c r="Q561" i="23"/>
  <c r="Q575" i="23"/>
  <c r="K583" i="23"/>
  <c r="L584" i="23"/>
  <c r="I621" i="23"/>
  <c r="I620" i="23" s="1"/>
  <c r="I619" i="23" s="1"/>
  <c r="E640" i="23"/>
  <c r="G640" i="23" s="1"/>
  <c r="L640" i="23" s="1"/>
  <c r="G642" i="23"/>
  <c r="K642" i="23" s="1"/>
  <c r="J720" i="23"/>
  <c r="G720" i="23"/>
  <c r="Q720" i="23" s="1"/>
  <c r="F719" i="23"/>
  <c r="H720" i="23"/>
  <c r="K797" i="23"/>
  <c r="Q797" i="23"/>
  <c r="L797" i="23"/>
  <c r="K883" i="23"/>
  <c r="L883" i="23"/>
  <c r="Q883" i="23"/>
  <c r="L929" i="23"/>
  <c r="E636" i="23"/>
  <c r="G739" i="23"/>
  <c r="L739" i="23" s="1"/>
  <c r="E738" i="23"/>
  <c r="G740" i="23"/>
  <c r="L740" i="23" s="1"/>
  <c r="Q770" i="23"/>
  <c r="Q836" i="23"/>
  <c r="K836" i="23"/>
  <c r="J838" i="23"/>
  <c r="K871" i="23"/>
  <c r="G870" i="23"/>
  <c r="L870" i="23" s="1"/>
  <c r="L871" i="23"/>
  <c r="K878" i="23"/>
  <c r="Q878" i="23"/>
  <c r="L878" i="23"/>
  <c r="K916" i="23"/>
  <c r="L916" i="23"/>
  <c r="L930" i="23"/>
  <c r="K930" i="23"/>
  <c r="K934" i="23"/>
  <c r="L934" i="23"/>
  <c r="Q944" i="23"/>
  <c r="K944" i="23"/>
  <c r="L944" i="23"/>
  <c r="K980" i="23"/>
  <c r="Q980" i="23"/>
  <c r="L980" i="23"/>
  <c r="L983" i="23"/>
  <c r="I983" i="23"/>
  <c r="I981" i="23" s="1"/>
  <c r="Q983" i="23"/>
  <c r="Q1016" i="23"/>
  <c r="K1016" i="23"/>
  <c r="L658" i="23"/>
  <c r="H738" i="23"/>
  <c r="K748" i="23"/>
  <c r="Q748" i="23"/>
  <c r="L748" i="23"/>
  <c r="G750" i="23"/>
  <c r="H750" i="23"/>
  <c r="H744" i="23" s="1"/>
  <c r="F744" i="23"/>
  <c r="L761" i="23"/>
  <c r="Q761" i="23"/>
  <c r="I782" i="23"/>
  <c r="H781" i="23"/>
  <c r="K796" i="23"/>
  <c r="Q796" i="23"/>
  <c r="F802" i="23"/>
  <c r="G804" i="23"/>
  <c r="K804" i="23" s="1"/>
  <c r="H820" i="23"/>
  <c r="H792" i="23" s="1"/>
  <c r="G820" i="23"/>
  <c r="L820" i="23" s="1"/>
  <c r="F767" i="23"/>
  <c r="L836" i="23"/>
  <c r="L840" i="23"/>
  <c r="Q840" i="23"/>
  <c r="K865" i="23"/>
  <c r="L865" i="23"/>
  <c r="Q877" i="23"/>
  <c r="L896" i="23"/>
  <c r="K896" i="23"/>
  <c r="G895" i="23"/>
  <c r="Q895" i="23" s="1"/>
  <c r="Q916" i="23"/>
  <c r="K923" i="23"/>
  <c r="Q923" i="23"/>
  <c r="L923" i="23"/>
  <c r="G922" i="23"/>
  <c r="K926" i="23"/>
  <c r="L926" i="23"/>
  <c r="G925" i="23"/>
  <c r="Q925" i="23" s="1"/>
  <c r="E928" i="23"/>
  <c r="Q932" i="23"/>
  <c r="L932" i="23"/>
  <c r="K932" i="23"/>
  <c r="G931" i="23"/>
  <c r="L931" i="23" s="1"/>
  <c r="Q945" i="23"/>
  <c r="L945" i="23"/>
  <c r="K945" i="23"/>
  <c r="Q973" i="23"/>
  <c r="L973" i="23"/>
  <c r="K973" i="23"/>
  <c r="K982" i="23"/>
  <c r="L982" i="23"/>
  <c r="Q982" i="23"/>
  <c r="Q1017" i="23"/>
  <c r="K1017" i="23"/>
  <c r="K1045" i="23"/>
  <c r="L1045" i="23"/>
  <c r="L332" i="23"/>
  <c r="L359" i="23"/>
  <c r="L365" i="23"/>
  <c r="L377" i="23"/>
  <c r="Q380" i="23"/>
  <c r="Q383" i="23"/>
  <c r="L386" i="23"/>
  <c r="L408" i="23"/>
  <c r="H454" i="23"/>
  <c r="H453" i="23" s="1"/>
  <c r="H448" i="23" s="1"/>
  <c r="Q465" i="23"/>
  <c r="H476" i="23"/>
  <c r="H475" i="23" s="1"/>
  <c r="H474" i="23" s="1"/>
  <c r="H473" i="23" s="1"/>
  <c r="L520" i="23"/>
  <c r="G597" i="23"/>
  <c r="L597" i="23" s="1"/>
  <c r="Q627" i="23"/>
  <c r="F649" i="23"/>
  <c r="Q658" i="23"/>
  <c r="I685" i="23"/>
  <c r="K690" i="23"/>
  <c r="K725" i="23"/>
  <c r="L725" i="23"/>
  <c r="H728" i="23"/>
  <c r="H727" i="23" s="1"/>
  <c r="J740" i="23"/>
  <c r="J738" i="23" s="1"/>
  <c r="K743" i="23"/>
  <c r="L743" i="23"/>
  <c r="I750" i="23"/>
  <c r="K752" i="23"/>
  <c r="Q752" i="23"/>
  <c r="I754" i="23"/>
  <c r="J754" i="23" s="1"/>
  <c r="H751" i="23"/>
  <c r="K791" i="23"/>
  <c r="Q791" i="23"/>
  <c r="L796" i="23"/>
  <c r="Q799" i="23"/>
  <c r="Q806" i="23"/>
  <c r="K806" i="23"/>
  <c r="Q808" i="23"/>
  <c r="K808" i="23"/>
  <c r="Q819" i="23"/>
  <c r="K819" i="23"/>
  <c r="L852" i="23"/>
  <c r="Q858" i="23"/>
  <c r="G885" i="23"/>
  <c r="L885" i="23" s="1"/>
  <c r="K881" i="23"/>
  <c r="L881" i="23"/>
  <c r="Q896" i="23"/>
  <c r="Q900" i="23"/>
  <c r="G898" i="23"/>
  <c r="L898" i="23" s="1"/>
  <c r="K900" i="23"/>
  <c r="K924" i="23"/>
  <c r="L924" i="23"/>
  <c r="Q941" i="23"/>
  <c r="L941" i="23"/>
  <c r="K941" i="23"/>
  <c r="Q946" i="23"/>
  <c r="K946" i="23"/>
  <c r="Q992" i="23"/>
  <c r="Q1045" i="23"/>
  <c r="F693" i="23"/>
  <c r="H693" i="23" s="1"/>
  <c r="I693" i="23" s="1"/>
  <c r="J693" i="23" s="1"/>
  <c r="L715" i="23"/>
  <c r="E721" i="23"/>
  <c r="E709" i="23" s="1"/>
  <c r="H735" i="23"/>
  <c r="Q742" i="23"/>
  <c r="L747" i="23"/>
  <c r="L777" i="23"/>
  <c r="G778" i="23"/>
  <c r="Q778" i="23" s="1"/>
  <c r="L779" i="23"/>
  <c r="G817" i="23"/>
  <c r="L817" i="23" s="1"/>
  <c r="L818" i="23"/>
  <c r="L823" i="23"/>
  <c r="F841" i="23"/>
  <c r="L845" i="23"/>
  <c r="L861" i="23"/>
  <c r="K891" i="23"/>
  <c r="L891" i="23"/>
  <c r="G952" i="23"/>
  <c r="G951" i="23" s="1"/>
  <c r="E951" i="23"/>
  <c r="K955" i="23"/>
  <c r="Q955" i="23"/>
  <c r="K958" i="23"/>
  <c r="L958" i="23"/>
  <c r="K963" i="23"/>
  <c r="Q963" i="23"/>
  <c r="K966" i="23"/>
  <c r="L966" i="23"/>
  <c r="L985" i="23"/>
  <c r="I985" i="23"/>
  <c r="I984" i="23" s="1"/>
  <c r="L1013" i="23"/>
  <c r="L1049" i="23"/>
  <c r="Q1049" i="23"/>
  <c r="F1050" i="23"/>
  <c r="G728" i="23"/>
  <c r="K728" i="23" s="1"/>
  <c r="L729" i="23"/>
  <c r="Q758" i="23"/>
  <c r="Q760" i="23"/>
  <c r="Q782" i="23"/>
  <c r="G798" i="23"/>
  <c r="L807" i="23"/>
  <c r="Q826" i="23"/>
  <c r="K826" i="23"/>
  <c r="K837" i="23"/>
  <c r="L837" i="23"/>
  <c r="K839" i="23"/>
  <c r="Q839" i="23"/>
  <c r="G838" i="23"/>
  <c r="Q838" i="23" s="1"/>
  <c r="L839" i="23"/>
  <c r="J842" i="23"/>
  <c r="J841" i="23" s="1"/>
  <c r="I842" i="23"/>
  <c r="I841" i="23" s="1"/>
  <c r="L843" i="23"/>
  <c r="Q846" i="23"/>
  <c r="F866" i="23"/>
  <c r="H866" i="23" s="1"/>
  <c r="I866" i="23" s="1"/>
  <c r="J866" i="23" s="1"/>
  <c r="K869" i="23"/>
  <c r="L869" i="23"/>
  <c r="L872" i="23"/>
  <c r="K876" i="23"/>
  <c r="Q876" i="23"/>
  <c r="G875" i="23"/>
  <c r="Q875" i="23" s="1"/>
  <c r="L876" i="23"/>
  <c r="Q880" i="23"/>
  <c r="K892" i="23"/>
  <c r="Q892" i="23"/>
  <c r="Q893" i="23"/>
  <c r="Q920" i="23"/>
  <c r="G918" i="23"/>
  <c r="L918" i="23" s="1"/>
  <c r="E921" i="23"/>
  <c r="Q927" i="23"/>
  <c r="K954" i="23"/>
  <c r="L954" i="23"/>
  <c r="K959" i="23"/>
  <c r="Q959" i="23"/>
  <c r="Q960" i="23"/>
  <c r="K962" i="23"/>
  <c r="L962" i="23"/>
  <c r="J987" i="23"/>
  <c r="I1008" i="23"/>
  <c r="Q1015" i="23"/>
  <c r="K1015" i="23"/>
  <c r="F1018" i="23"/>
  <c r="G1041" i="23"/>
  <c r="Q1041" i="23" s="1"/>
  <c r="Q1046" i="23"/>
  <c r="Q1048" i="23"/>
  <c r="L1048" i="23"/>
  <c r="I1049" i="23"/>
  <c r="I1043" i="23" s="1"/>
  <c r="I1040" i="23" s="1"/>
  <c r="H829" i="23"/>
  <c r="J844" i="23"/>
  <c r="Q848" i="23"/>
  <c r="Q855" i="23"/>
  <c r="L874" i="23"/>
  <c r="F879" i="23"/>
  <c r="J938" i="23"/>
  <c r="J937" i="23" s="1"/>
  <c r="Q972" i="23"/>
  <c r="J978" i="23"/>
  <c r="L1012" i="23"/>
  <c r="F118" i="23"/>
  <c r="K123" i="23"/>
  <c r="E243" i="23"/>
  <c r="J328" i="23"/>
  <c r="J39" i="23" s="1"/>
  <c r="I39" i="23"/>
  <c r="J390" i="23"/>
  <c r="J99" i="23" s="1"/>
  <c r="I99" i="23"/>
  <c r="F73" i="23"/>
  <c r="F72" i="23" s="1"/>
  <c r="E151" i="23"/>
  <c r="Q317" i="23"/>
  <c r="L317" i="23"/>
  <c r="G25" i="23"/>
  <c r="L25" i="23" s="1"/>
  <c r="K317" i="23"/>
  <c r="Q330" i="23"/>
  <c r="L330" i="23"/>
  <c r="G41" i="23"/>
  <c r="L41" i="23" s="1"/>
  <c r="K330" i="23"/>
  <c r="J430" i="23"/>
  <c r="J180" i="23" s="1"/>
  <c r="I180" i="23"/>
  <c r="E94" i="23"/>
  <c r="F132" i="23"/>
  <c r="Q309" i="23"/>
  <c r="I309" i="23"/>
  <c r="L309" i="23"/>
  <c r="G17" i="23"/>
  <c r="K309" i="23"/>
  <c r="G308" i="23"/>
  <c r="Q308" i="23" s="1"/>
  <c r="J435" i="23"/>
  <c r="J185" i="23" s="1"/>
  <c r="I185" i="23"/>
  <c r="F22" i="23"/>
  <c r="F18" i="23" s="1"/>
  <c r="F14" i="23" s="1"/>
  <c r="E83" i="23"/>
  <c r="K84" i="23"/>
  <c r="K87" i="23"/>
  <c r="K49" i="23"/>
  <c r="F124" i="23"/>
  <c r="E165" i="23"/>
  <c r="L172" i="23"/>
  <c r="K172" i="23"/>
  <c r="E200" i="23"/>
  <c r="K225" i="23"/>
  <c r="F243" i="23"/>
  <c r="F248" i="23"/>
  <c r="J248" i="23"/>
  <c r="F252" i="23"/>
  <c r="J252" i="23"/>
  <c r="E287" i="23"/>
  <c r="I125" i="23"/>
  <c r="I124" i="23"/>
  <c r="K120" i="23"/>
  <c r="K173" i="23"/>
  <c r="I28" i="23"/>
  <c r="I27" i="23" s="1"/>
  <c r="I26" i="23" s="1"/>
  <c r="J320" i="23"/>
  <c r="J28" i="23" s="1"/>
  <c r="J27" i="23" s="1"/>
  <c r="J26" i="23" s="1"/>
  <c r="J327" i="23"/>
  <c r="I38" i="23"/>
  <c r="I35" i="23"/>
  <c r="L84" i="23"/>
  <c r="L53" i="23"/>
  <c r="K53" i="23"/>
  <c r="Q87" i="23"/>
  <c r="F88" i="23"/>
  <c r="E110" i="23"/>
  <c r="K111" i="23"/>
  <c r="F125" i="23"/>
  <c r="E160" i="23"/>
  <c r="Q197" i="23"/>
  <c r="L197" i="23"/>
  <c r="K197" i="23"/>
  <c r="E291" i="23"/>
  <c r="F307" i="23"/>
  <c r="F306" i="23" s="1"/>
  <c r="J368" i="23"/>
  <c r="J77" i="23" s="1"/>
  <c r="I77" i="23"/>
  <c r="J399" i="23"/>
  <c r="J108" i="23" s="1"/>
  <c r="I108" i="23"/>
  <c r="K375" i="23"/>
  <c r="L413" i="23"/>
  <c r="K470" i="23"/>
  <c r="G469" i="23"/>
  <c r="Q469" i="23" s="1"/>
  <c r="Q470" i="23"/>
  <c r="L587" i="23"/>
  <c r="K587" i="23"/>
  <c r="I690" i="23"/>
  <c r="H686" i="23"/>
  <c r="Q696" i="23"/>
  <c r="L696" i="23"/>
  <c r="Q701" i="23"/>
  <c r="L701" i="23"/>
  <c r="G700" i="23"/>
  <c r="L700" i="23" s="1"/>
  <c r="Q762" i="23"/>
  <c r="L762" i="23"/>
  <c r="K762" i="23"/>
  <c r="G759" i="23"/>
  <c r="Q759" i="23" s="1"/>
  <c r="Q787" i="23"/>
  <c r="L787" i="23"/>
  <c r="K787" i="23"/>
  <c r="K800" i="23"/>
  <c r="Q800" i="23"/>
  <c r="H77" i="23"/>
  <c r="Q366" i="23"/>
  <c r="G364" i="23"/>
  <c r="K364" i="23" s="1"/>
  <c r="L366" i="23"/>
  <c r="Q394" i="23"/>
  <c r="L394" i="23"/>
  <c r="G393" i="23"/>
  <c r="L393" i="23" s="1"/>
  <c r="Q428" i="23"/>
  <c r="K428" i="23"/>
  <c r="G436" i="23"/>
  <c r="L436" i="23" s="1"/>
  <c r="E421" i="23"/>
  <c r="Q567" i="23"/>
  <c r="L567" i="23"/>
  <c r="G566" i="23"/>
  <c r="Q566" i="23" s="1"/>
  <c r="G585" i="23"/>
  <c r="K585" i="23" s="1"/>
  <c r="Q702" i="23"/>
  <c r="K702" i="23"/>
  <c r="I98" i="23"/>
  <c r="G178" i="23"/>
  <c r="L178" i="23" s="1"/>
  <c r="Q196" i="23"/>
  <c r="Q210" i="23"/>
  <c r="F217" i="23"/>
  <c r="J217" i="23"/>
  <c r="G257" i="23"/>
  <c r="Q257" i="23" s="1"/>
  <c r="Q273" i="23"/>
  <c r="L273" i="23"/>
  <c r="G277" i="23"/>
  <c r="Q290" i="23"/>
  <c r="Q299" i="23"/>
  <c r="L299" i="23"/>
  <c r="M921" i="23"/>
  <c r="Q338" i="23"/>
  <c r="L338" i="23"/>
  <c r="E336" i="23"/>
  <c r="Q424" i="23"/>
  <c r="K443" i="23"/>
  <c r="E454" i="23"/>
  <c r="K477" i="23"/>
  <c r="Q477" i="23"/>
  <c r="Q552" i="23"/>
  <c r="L552" i="23"/>
  <c r="K552" i="23"/>
  <c r="K567" i="23"/>
  <c r="Q587" i="23"/>
  <c r="L602" i="23"/>
  <c r="K602" i="23"/>
  <c r="G601" i="23"/>
  <c r="K601" i="23" s="1"/>
  <c r="G292" i="23"/>
  <c r="Q292" i="23" s="1"/>
  <c r="L604" i="23"/>
  <c r="K604" i="23"/>
  <c r="G294" i="23"/>
  <c r="L294" i="23" s="1"/>
  <c r="L610" i="23"/>
  <c r="K610" i="23"/>
  <c r="G300" i="23"/>
  <c r="Q300" i="23" s="1"/>
  <c r="Q631" i="23"/>
  <c r="L631" i="23"/>
  <c r="K631" i="23"/>
  <c r="E675" i="23"/>
  <c r="Q793" i="23"/>
  <c r="L793" i="23"/>
  <c r="K793" i="23"/>
  <c r="Q860" i="23"/>
  <c r="G859" i="23"/>
  <c r="Q859" i="23" s="1"/>
  <c r="L860" i="23"/>
  <c r="K860" i="23"/>
  <c r="C104" i="1"/>
  <c r="E19" i="23"/>
  <c r="E48" i="23"/>
  <c r="I48" i="23"/>
  <c r="I44" i="23" s="1"/>
  <c r="I43" i="23" s="1"/>
  <c r="E73" i="23"/>
  <c r="G75" i="23"/>
  <c r="Q75" i="23" s="1"/>
  <c r="L92" i="23"/>
  <c r="G113" i="23"/>
  <c r="K113" i="23" s="1"/>
  <c r="I119" i="23"/>
  <c r="I118" i="23" s="1"/>
  <c r="H136" i="23"/>
  <c r="G145" i="23"/>
  <c r="H176" i="23"/>
  <c r="H178" i="23"/>
  <c r="H180" i="23"/>
  <c r="H185" i="23"/>
  <c r="I211" i="23"/>
  <c r="H222" i="23"/>
  <c r="Q225" i="23"/>
  <c r="G242" i="23"/>
  <c r="L242" i="23" s="1"/>
  <c r="F260" i="23"/>
  <c r="J260" i="23"/>
  <c r="E267" i="23"/>
  <c r="E271" i="23"/>
  <c r="K273" i="23"/>
  <c r="E275" i="23"/>
  <c r="E279" i="23"/>
  <c r="E283" i="23"/>
  <c r="K299" i="23"/>
  <c r="E310" i="23"/>
  <c r="L316" i="23"/>
  <c r="G314" i="23"/>
  <c r="K316" i="23"/>
  <c r="N337" i="23"/>
  <c r="K338" i="23"/>
  <c r="Q362" i="23"/>
  <c r="G360" i="23"/>
  <c r="K360" i="23" s="1"/>
  <c r="L362" i="23"/>
  <c r="K362" i="23"/>
  <c r="H363" i="23"/>
  <c r="L367" i="23"/>
  <c r="G370" i="23"/>
  <c r="I371" i="23"/>
  <c r="H370" i="23"/>
  <c r="H369" i="23" s="1"/>
  <c r="G376" i="23"/>
  <c r="Q376" i="23" s="1"/>
  <c r="G385" i="23"/>
  <c r="Q385" i="23" s="1"/>
  <c r="Q388" i="23"/>
  <c r="L388" i="23"/>
  <c r="K388" i="23"/>
  <c r="L389" i="23"/>
  <c r="Q392" i="23"/>
  <c r="L392" i="23"/>
  <c r="K392" i="23"/>
  <c r="H393" i="23"/>
  <c r="I395" i="23"/>
  <c r="K398" i="23"/>
  <c r="K404" i="23"/>
  <c r="I405" i="23"/>
  <c r="H412" i="23"/>
  <c r="H411" i="23" s="1"/>
  <c r="L415" i="23"/>
  <c r="Q415" i="23"/>
  <c r="K415" i="23"/>
  <c r="J427" i="23"/>
  <c r="J177" i="23" s="1"/>
  <c r="L428" i="23"/>
  <c r="K429" i="23"/>
  <c r="L433" i="23"/>
  <c r="L440" i="23"/>
  <c r="Q440" i="23"/>
  <c r="K440" i="23"/>
  <c r="I441" i="23"/>
  <c r="L443" i="23"/>
  <c r="E450" i="23"/>
  <c r="L459" i="23"/>
  <c r="Q459" i="23"/>
  <c r="G458" i="23"/>
  <c r="L458" i="23" s="1"/>
  <c r="I462" i="23"/>
  <c r="I461" i="23" s="1"/>
  <c r="L477" i="23"/>
  <c r="K481" i="23"/>
  <c r="Q481" i="23"/>
  <c r="L538" i="23"/>
  <c r="K538" i="23"/>
  <c r="G537" i="23"/>
  <c r="K537" i="23" s="1"/>
  <c r="G228" i="23"/>
  <c r="L540" i="23"/>
  <c r="K540" i="23"/>
  <c r="H526" i="23"/>
  <c r="Q550" i="23"/>
  <c r="L550" i="23"/>
  <c r="G240" i="23"/>
  <c r="Q240" i="23" s="1"/>
  <c r="K550" i="23"/>
  <c r="E526" i="23"/>
  <c r="F576" i="23"/>
  <c r="L579" i="23"/>
  <c r="K579" i="23"/>
  <c r="Q579" i="23"/>
  <c r="L596" i="23"/>
  <c r="K596" i="23"/>
  <c r="Q596" i="23"/>
  <c r="G286" i="23"/>
  <c r="Q602" i="23"/>
  <c r="Q604" i="23"/>
  <c r="Q610" i="23"/>
  <c r="Q646" i="23"/>
  <c r="L646" i="23"/>
  <c r="G645" i="23"/>
  <c r="E648" i="23"/>
  <c r="L654" i="23"/>
  <c r="K654" i="23"/>
  <c r="I662" i="23"/>
  <c r="J662" i="23" s="1"/>
  <c r="J660" i="23" s="1"/>
  <c r="H660" i="23"/>
  <c r="L667" i="23"/>
  <c r="K667" i="23"/>
  <c r="G666" i="23"/>
  <c r="K666" i="23" s="1"/>
  <c r="L702" i="23"/>
  <c r="Q734" i="23"/>
  <c r="K734" i="23"/>
  <c r="L734" i="23"/>
  <c r="K747" i="23"/>
  <c r="H772" i="23"/>
  <c r="Q774" i="23"/>
  <c r="G772" i="23"/>
  <c r="L772" i="23" s="1"/>
  <c r="L774" i="23"/>
  <c r="K774" i="23"/>
  <c r="Q790" i="23"/>
  <c r="K790" i="23"/>
  <c r="G789" i="23"/>
  <c r="L789" i="23" s="1"/>
  <c r="L790" i="23"/>
  <c r="E910" i="23"/>
  <c r="Q375" i="23"/>
  <c r="L375" i="23"/>
  <c r="L452" i="23"/>
  <c r="Q452" i="23"/>
  <c r="G451" i="23"/>
  <c r="K451" i="23" s="1"/>
  <c r="K452" i="23"/>
  <c r="Q457" i="23"/>
  <c r="L457" i="23"/>
  <c r="K457" i="23"/>
  <c r="L504" i="23"/>
  <c r="K504" i="23"/>
  <c r="Q504" i="23"/>
  <c r="L554" i="23"/>
  <c r="K554" i="23"/>
  <c r="G553" i="23"/>
  <c r="K553" i="23" s="1"/>
  <c r="G244" i="23"/>
  <c r="Q554" i="23"/>
  <c r="Q569" i="23"/>
  <c r="L569" i="23"/>
  <c r="G259" i="23"/>
  <c r="J621" i="23"/>
  <c r="J620" i="23" s="1"/>
  <c r="J619" i="23" s="1"/>
  <c r="Q635" i="23"/>
  <c r="L635" i="23"/>
  <c r="Q643" i="23"/>
  <c r="L643" i="23"/>
  <c r="H666" i="23"/>
  <c r="J666" i="23"/>
  <c r="Q673" i="23"/>
  <c r="L673" i="23"/>
  <c r="Q704" i="23"/>
  <c r="L704" i="23"/>
  <c r="G703" i="23"/>
  <c r="E26" i="23"/>
  <c r="G133" i="23"/>
  <c r="G137" i="23"/>
  <c r="L137" i="23" s="1"/>
  <c r="J309" i="23"/>
  <c r="H308" i="23"/>
  <c r="H307" i="23" s="1"/>
  <c r="K367" i="23"/>
  <c r="F384" i="23"/>
  <c r="J398" i="23"/>
  <c r="I396" i="23"/>
  <c r="G412" i="23"/>
  <c r="K412" i="23" s="1"/>
  <c r="J416" i="23"/>
  <c r="J136" i="23" s="1"/>
  <c r="L431" i="23"/>
  <c r="Q431" i="23"/>
  <c r="K431" i="23"/>
  <c r="K433" i="23"/>
  <c r="L470" i="23"/>
  <c r="K480" i="23"/>
  <c r="Q480" i="23"/>
  <c r="L480" i="23"/>
  <c r="J656" i="23"/>
  <c r="I652" i="23"/>
  <c r="I650" i="23"/>
  <c r="I666" i="23"/>
  <c r="L669" i="23"/>
  <c r="K669" i="23"/>
  <c r="E684" i="23"/>
  <c r="Q692" i="23"/>
  <c r="L692" i="23"/>
  <c r="H1007" i="23"/>
  <c r="H1005" i="23" s="1"/>
  <c r="H1004" i="23" s="1"/>
  <c r="H1002" i="23"/>
  <c r="G30" i="23"/>
  <c r="K30" i="23" s="1"/>
  <c r="G46" i="23"/>
  <c r="J48" i="23"/>
  <c r="J44" i="23" s="1"/>
  <c r="J43" i="23" s="1"/>
  <c r="G66" i="23"/>
  <c r="L66" i="23" s="1"/>
  <c r="I74" i="23"/>
  <c r="I73" i="23" s="1"/>
  <c r="G76" i="23"/>
  <c r="L76" i="23" s="1"/>
  <c r="G103" i="23"/>
  <c r="G104" i="23"/>
  <c r="L104" i="23" s="1"/>
  <c r="H106" i="23"/>
  <c r="H113" i="23"/>
  <c r="I175" i="23"/>
  <c r="I176" i="23"/>
  <c r="I178" i="23"/>
  <c r="E222" i="23"/>
  <c r="Q246" i="23"/>
  <c r="Q250" i="23"/>
  <c r="F267" i="23"/>
  <c r="K270" i="23"/>
  <c r="Q270" i="23"/>
  <c r="F271" i="23"/>
  <c r="F275" i="23"/>
  <c r="F279" i="23"/>
  <c r="K282" i="23"/>
  <c r="Q282" i="23"/>
  <c r="E295" i="23"/>
  <c r="K322" i="23"/>
  <c r="Q329" i="23"/>
  <c r="L329" i="23"/>
  <c r="G328" i="23"/>
  <c r="K329" i="23"/>
  <c r="Q333" i="23"/>
  <c r="L333" i="23"/>
  <c r="K333" i="23"/>
  <c r="Q339" i="23"/>
  <c r="L339" i="23"/>
  <c r="Q341" i="23"/>
  <c r="E363" i="23"/>
  <c r="K371" i="23"/>
  <c r="E374" i="23"/>
  <c r="K377" i="23"/>
  <c r="H385" i="23"/>
  <c r="K395" i="23"/>
  <c r="L398" i="23"/>
  <c r="Q403" i="23"/>
  <c r="L403" i="23"/>
  <c r="K403" i="23"/>
  <c r="L404" i="23"/>
  <c r="K413" i="23"/>
  <c r="L429" i="23"/>
  <c r="G438" i="23"/>
  <c r="L438" i="23" s="1"/>
  <c r="G455" i="23"/>
  <c r="Q455" i="23" s="1"/>
  <c r="E461" i="23"/>
  <c r="Q466" i="23"/>
  <c r="G462" i="23"/>
  <c r="Q462" i="23" s="1"/>
  <c r="L466" i="23"/>
  <c r="K466" i="23"/>
  <c r="E468" i="23"/>
  <c r="Q499" i="23"/>
  <c r="L499" i="23"/>
  <c r="Q501" i="23"/>
  <c r="L501" i="23"/>
  <c r="L506" i="23"/>
  <c r="K506" i="23"/>
  <c r="Q506" i="23"/>
  <c r="Q534" i="23"/>
  <c r="L534" i="23"/>
  <c r="G224" i="23"/>
  <c r="Q536" i="23"/>
  <c r="L536" i="23"/>
  <c r="L556" i="23"/>
  <c r="K556" i="23"/>
  <c r="Q556" i="23"/>
  <c r="L571" i="23"/>
  <c r="K571" i="23"/>
  <c r="G570" i="23"/>
  <c r="K570" i="23" s="1"/>
  <c r="L573" i="23"/>
  <c r="K573" i="23"/>
  <c r="G263" i="23"/>
  <c r="L263" i="23" s="1"/>
  <c r="E576" i="23"/>
  <c r="L594" i="23"/>
  <c r="K594" i="23"/>
  <c r="G593" i="23"/>
  <c r="K593" i="23" s="1"/>
  <c r="Q594" i="23"/>
  <c r="G284" i="23"/>
  <c r="K284" i="23" s="1"/>
  <c r="L638" i="23"/>
  <c r="K638" i="23"/>
  <c r="Q638" i="23"/>
  <c r="J650" i="23"/>
  <c r="F665" i="23"/>
  <c r="F663" i="23" s="1"/>
  <c r="Q672" i="23"/>
  <c r="L672" i="23"/>
  <c r="G671" i="23"/>
  <c r="L671" i="23" s="1"/>
  <c r="K672" i="23"/>
  <c r="G686" i="23"/>
  <c r="Q686" i="23" s="1"/>
  <c r="E687" i="23"/>
  <c r="K692" i="23"/>
  <c r="K696" i="23"/>
  <c r="K701" i="23"/>
  <c r="J774" i="23"/>
  <c r="Q776" i="23"/>
  <c r="K776" i="23"/>
  <c r="G775" i="23"/>
  <c r="Q775" i="23" s="1"/>
  <c r="L776" i="23"/>
  <c r="H786" i="23"/>
  <c r="I788" i="23"/>
  <c r="E217" i="23"/>
  <c r="E307" i="23"/>
  <c r="E369" i="23"/>
  <c r="F411" i="23"/>
  <c r="K416" i="23"/>
  <c r="K427" i="23"/>
  <c r="K432" i="23"/>
  <c r="L442" i="23"/>
  <c r="G441" i="23"/>
  <c r="K442" i="23"/>
  <c r="Q498" i="23"/>
  <c r="L498" i="23"/>
  <c r="Q500" i="23"/>
  <c r="L500" i="23"/>
  <c r="K503" i="23"/>
  <c r="G502" i="23"/>
  <c r="Q502" i="23" s="1"/>
  <c r="G508" i="23"/>
  <c r="L508" i="23" s="1"/>
  <c r="Q512" i="23"/>
  <c r="L512" i="23"/>
  <c r="H512" i="23"/>
  <c r="I512" i="23" s="1"/>
  <c r="J512" i="23" s="1"/>
  <c r="J519" i="23"/>
  <c r="Q533" i="23"/>
  <c r="L533" i="23"/>
  <c r="Q535" i="23"/>
  <c r="L535" i="23"/>
  <c r="L539" i="23"/>
  <c r="K539" i="23"/>
  <c r="Q568" i="23"/>
  <c r="L568" i="23"/>
  <c r="L572" i="23"/>
  <c r="K572" i="23"/>
  <c r="L586" i="23"/>
  <c r="K586" i="23"/>
  <c r="L588" i="23"/>
  <c r="K588" i="23"/>
  <c r="L603" i="23"/>
  <c r="K603" i="23"/>
  <c r="L609" i="23"/>
  <c r="G605" i="23"/>
  <c r="Q605" i="23" s="1"/>
  <c r="K609" i="23"/>
  <c r="L611" i="23"/>
  <c r="K611" i="23"/>
  <c r="F621" i="23"/>
  <c r="F620" i="23" s="1"/>
  <c r="Q637" i="23"/>
  <c r="L637" i="23"/>
  <c r="Q647" i="23"/>
  <c r="L647" i="23"/>
  <c r="L653" i="23"/>
  <c r="K653" i="23"/>
  <c r="Q655" i="23"/>
  <c r="L655" i="23"/>
  <c r="G652" i="23"/>
  <c r="K652" i="23" s="1"/>
  <c r="K655" i="23"/>
  <c r="L668" i="23"/>
  <c r="K668" i="23"/>
  <c r="Q670" i="23"/>
  <c r="L670" i="23"/>
  <c r="K670" i="23"/>
  <c r="Q681" i="23"/>
  <c r="G677" i="23"/>
  <c r="Q677" i="23" s="1"/>
  <c r="K681" i="23"/>
  <c r="Q689" i="23"/>
  <c r="G685" i="23"/>
  <c r="K685" i="23" s="1"/>
  <c r="L689" i="23"/>
  <c r="G688" i="23"/>
  <c r="K688" i="23" s="1"/>
  <c r="K689" i="23"/>
  <c r="Q698" i="23"/>
  <c r="L698" i="23"/>
  <c r="G697" i="23"/>
  <c r="L697" i="23" s="1"/>
  <c r="Q699" i="23"/>
  <c r="L699" i="23"/>
  <c r="Q716" i="23"/>
  <c r="L716" i="23"/>
  <c r="Q732" i="23"/>
  <c r="G736" i="23"/>
  <c r="K736" i="23" s="1"/>
  <c r="L732" i="23"/>
  <c r="K732" i="23"/>
  <c r="E735" i="23"/>
  <c r="E731" i="23"/>
  <c r="E708" i="23" s="1"/>
  <c r="J769" i="23"/>
  <c r="Q773" i="23"/>
  <c r="L773" i="23"/>
  <c r="K773" i="23"/>
  <c r="G811" i="23"/>
  <c r="K811" i="23" s="1"/>
  <c r="F809" i="23"/>
  <c r="Q815" i="23"/>
  <c r="K815" i="23"/>
  <c r="Q851" i="23"/>
  <c r="L851" i="23"/>
  <c r="G850" i="23"/>
  <c r="L850" i="23" s="1"/>
  <c r="K851" i="23"/>
  <c r="N911" i="23"/>
  <c r="M910" i="23"/>
  <c r="Q337" i="23"/>
  <c r="J413" i="23"/>
  <c r="L416" i="23"/>
  <c r="K423" i="23"/>
  <c r="L432" i="23"/>
  <c r="F454" i="23"/>
  <c r="F453" i="23" s="1"/>
  <c r="F448" i="23" s="1"/>
  <c r="J454" i="23"/>
  <c r="J453" i="23" s="1"/>
  <c r="J448" i="23" s="1"/>
  <c r="K465" i="23"/>
  <c r="L505" i="23"/>
  <c r="K505" i="23"/>
  <c r="L507" i="23"/>
  <c r="K507" i="23"/>
  <c r="Q551" i="23"/>
  <c r="L551" i="23"/>
  <c r="L555" i="23"/>
  <c r="K555" i="23"/>
  <c r="L557" i="23"/>
  <c r="K557" i="23"/>
  <c r="L578" i="23"/>
  <c r="K578" i="23"/>
  <c r="L580" i="23"/>
  <c r="K580" i="23"/>
  <c r="L595" i="23"/>
  <c r="K595" i="23"/>
  <c r="L625" i="23"/>
  <c r="K625" i="23"/>
  <c r="K628" i="23"/>
  <c r="Q628" i="23"/>
  <c r="L628" i="23"/>
  <c r="Q634" i="23"/>
  <c r="L634" i="23"/>
  <c r="L639" i="23"/>
  <c r="K639" i="23"/>
  <c r="H651" i="23"/>
  <c r="E665" i="23"/>
  <c r="Q668" i="23"/>
  <c r="G680" i="23"/>
  <c r="Q680" i="23" s="1"/>
  <c r="H677" i="23"/>
  <c r="H675" i="23" s="1"/>
  <c r="H680" i="23"/>
  <c r="H679" i="23" s="1"/>
  <c r="L681" i="23"/>
  <c r="H688" i="23"/>
  <c r="H687" i="23" s="1"/>
  <c r="Q718" i="23"/>
  <c r="L718" i="23"/>
  <c r="E744" i="23"/>
  <c r="H755" i="23"/>
  <c r="I757" i="23"/>
  <c r="J761" i="23"/>
  <c r="Q788" i="23"/>
  <c r="G786" i="23"/>
  <c r="L786" i="23" s="1"/>
  <c r="L788" i="23"/>
  <c r="K788" i="23"/>
  <c r="K511" i="23"/>
  <c r="K525" i="23"/>
  <c r="K659" i="23"/>
  <c r="K661" i="23"/>
  <c r="K695" i="23"/>
  <c r="Q737" i="23"/>
  <c r="L737" i="23"/>
  <c r="Q754" i="23"/>
  <c r="L754" i="23"/>
  <c r="L764" i="23"/>
  <c r="K764" i="23"/>
  <c r="G763" i="23"/>
  <c r="Q771" i="23"/>
  <c r="G769" i="23"/>
  <c r="K769" i="23" s="1"/>
  <c r="L771" i="23"/>
  <c r="K771" i="23"/>
  <c r="I776" i="23"/>
  <c r="J776" i="23" s="1"/>
  <c r="H775" i="23"/>
  <c r="Q783" i="23"/>
  <c r="G781" i="23"/>
  <c r="K781" i="23" s="1"/>
  <c r="L783" i="23"/>
  <c r="I790" i="23"/>
  <c r="H789" i="23"/>
  <c r="E834" i="23"/>
  <c r="I854" i="23"/>
  <c r="I853" i="23" s="1"/>
  <c r="F853" i="23"/>
  <c r="H854" i="23"/>
  <c r="H853" i="23" s="1"/>
  <c r="G854" i="23"/>
  <c r="K854" i="23" s="1"/>
  <c r="I863" i="23"/>
  <c r="I862" i="23" s="1"/>
  <c r="J865" i="23"/>
  <c r="J863" i="23" s="1"/>
  <c r="J862" i="23" s="1"/>
  <c r="E904" i="23"/>
  <c r="F928" i="23"/>
  <c r="K929" i="23"/>
  <c r="H511" i="23"/>
  <c r="I511" i="23" s="1"/>
  <c r="J511" i="23" s="1"/>
  <c r="G541" i="23"/>
  <c r="G558" i="23"/>
  <c r="L558" i="23" s="1"/>
  <c r="G574" i="23"/>
  <c r="G660" i="23"/>
  <c r="L660" i="23" s="1"/>
  <c r="G694" i="23"/>
  <c r="H697" i="23"/>
  <c r="H700" i="23"/>
  <c r="F712" i="23"/>
  <c r="L717" i="23"/>
  <c r="K717" i="23"/>
  <c r="Q733" i="23"/>
  <c r="L733" i="23"/>
  <c r="I736" i="23"/>
  <c r="I735" i="23" s="1"/>
  <c r="Q746" i="23"/>
  <c r="L746" i="23"/>
  <c r="K746" i="23"/>
  <c r="Q756" i="23"/>
  <c r="L756" i="23"/>
  <c r="Q757" i="23"/>
  <c r="G755" i="23"/>
  <c r="L755" i="23" s="1"/>
  <c r="Q764" i="23"/>
  <c r="H768" i="23"/>
  <c r="Q785" i="23"/>
  <c r="L785" i="23"/>
  <c r="G784" i="23"/>
  <c r="L784" i="23" s="1"/>
  <c r="K801" i="23"/>
  <c r="Q801" i="23"/>
  <c r="K825" i="23"/>
  <c r="G835" i="23"/>
  <c r="L835" i="23" s="1"/>
  <c r="J854" i="23"/>
  <c r="J853" i="23" s="1"/>
  <c r="J868" i="23"/>
  <c r="J867" i="23" s="1"/>
  <c r="I867" i="23"/>
  <c r="G917" i="23"/>
  <c r="L917" i="23" s="1"/>
  <c r="J917" i="23"/>
  <c r="I917" i="23"/>
  <c r="Q713" i="23"/>
  <c r="I720" i="23"/>
  <c r="K726" i="23"/>
  <c r="I728" i="23"/>
  <c r="I727" i="23" s="1"/>
  <c r="K749" i="23"/>
  <c r="J750" i="23"/>
  <c r="K753" i="23"/>
  <c r="K761" i="23"/>
  <c r="K770" i="23"/>
  <c r="K780" i="23"/>
  <c r="K782" i="23"/>
  <c r="Q813" i="23"/>
  <c r="L813" i="23"/>
  <c r="K813" i="23"/>
  <c r="Q816" i="23"/>
  <c r="L816" i="23"/>
  <c r="K816" i="23"/>
  <c r="Q849" i="23"/>
  <c r="E857" i="23"/>
  <c r="Q864" i="23"/>
  <c r="L864" i="23"/>
  <c r="G863" i="23"/>
  <c r="Q863" i="23" s="1"/>
  <c r="K864" i="23"/>
  <c r="E829" i="23"/>
  <c r="I908" i="23"/>
  <c r="F907" i="23"/>
  <c r="H908" i="23"/>
  <c r="F903" i="23"/>
  <c r="F902" i="23" s="1"/>
  <c r="O932" i="23"/>
  <c r="P932" i="23" s="1"/>
  <c r="Q912" i="23"/>
  <c r="L912" i="23"/>
  <c r="K912" i="23"/>
  <c r="G908" i="23"/>
  <c r="G741" i="23"/>
  <c r="H784" i="23"/>
  <c r="E809" i="23"/>
  <c r="Q814" i="23"/>
  <c r="K814" i="23"/>
  <c r="Q825" i="23"/>
  <c r="I829" i="23"/>
  <c r="I838" i="23"/>
  <c r="J849" i="23"/>
  <c r="H830" i="23"/>
  <c r="I852" i="23"/>
  <c r="I830" i="23" s="1"/>
  <c r="J857" i="23"/>
  <c r="J856" i="23" s="1"/>
  <c r="I857" i="23"/>
  <c r="I856" i="23" s="1"/>
  <c r="F856" i="23"/>
  <c r="H859" i="23"/>
  <c r="I861" i="23"/>
  <c r="H863" i="23"/>
  <c r="H862" i="23" s="1"/>
  <c r="Q868" i="23"/>
  <c r="L868" i="23"/>
  <c r="G867" i="23"/>
  <c r="K867" i="23" s="1"/>
  <c r="E830" i="23"/>
  <c r="E879" i="23"/>
  <c r="G890" i="23"/>
  <c r="L890" i="23" s="1"/>
  <c r="J908" i="23"/>
  <c r="Q913" i="23"/>
  <c r="L913" i="23"/>
  <c r="G909" i="23"/>
  <c r="K913" i="23"/>
  <c r="F938" i="23"/>
  <c r="F937" i="23" s="1"/>
  <c r="Q948" i="23"/>
  <c r="L948" i="23"/>
  <c r="K948" i="23"/>
  <c r="G947" i="23"/>
  <c r="K947" i="23" s="1"/>
  <c r="L826" i="23"/>
  <c r="H833" i="23"/>
  <c r="H832" i="23" s="1"/>
  <c r="K840" i="23"/>
  <c r="K846" i="23"/>
  <c r="K848" i="23"/>
  <c r="Q852" i="23"/>
  <c r="K855" i="23"/>
  <c r="K858" i="23"/>
  <c r="Q861" i="23"/>
  <c r="Q865" i="23"/>
  <c r="Q869" i="23"/>
  <c r="Q871" i="23"/>
  <c r="L887" i="23"/>
  <c r="L899" i="23"/>
  <c r="L900" i="23"/>
  <c r="E903" i="23"/>
  <c r="L919" i="23"/>
  <c r="L920" i="23"/>
  <c r="Q929" i="23"/>
  <c r="Q949" i="23"/>
  <c r="L949" i="23"/>
  <c r="K949" i="23"/>
  <c r="H970" i="23"/>
  <c r="J970" i="23" s="1"/>
  <c r="G970" i="23"/>
  <c r="G971" i="23"/>
  <c r="K971" i="23" s="1"/>
  <c r="K972" i="23"/>
  <c r="K993" i="23"/>
  <c r="Q1026" i="23"/>
  <c r="L1026" i="23"/>
  <c r="K1026" i="23"/>
  <c r="I833" i="23"/>
  <c r="I832" i="23" s="1"/>
  <c r="G847" i="23"/>
  <c r="L847" i="23" s="1"/>
  <c r="E862" i="23"/>
  <c r="E866" i="23"/>
  <c r="H867" i="23"/>
  <c r="E907" i="23"/>
  <c r="G914" i="23"/>
  <c r="K914" i="23" s="1"/>
  <c r="Q930" i="23"/>
  <c r="Q950" i="23"/>
  <c r="L950" i="23"/>
  <c r="K950" i="23"/>
  <c r="G976" i="23"/>
  <c r="Q976" i="23" s="1"/>
  <c r="Q979" i="23"/>
  <c r="I979" i="23"/>
  <c r="I978" i="23" s="1"/>
  <c r="L979" i="23"/>
  <c r="G978" i="23"/>
  <c r="H978" i="23"/>
  <c r="H977" i="23"/>
  <c r="E1018" i="23"/>
  <c r="E1028" i="23"/>
  <c r="L1051" i="23"/>
  <c r="K1051" i="23"/>
  <c r="Q1054" i="23"/>
  <c r="L1054" i="23"/>
  <c r="K1054" i="23"/>
  <c r="G1053" i="23"/>
  <c r="L1053" i="23" s="1"/>
  <c r="G1042" i="23"/>
  <c r="E974" i="23"/>
  <c r="Q989" i="23"/>
  <c r="I989" i="23"/>
  <c r="G987" i="23"/>
  <c r="Q987" i="23" s="1"/>
  <c r="Q991" i="23"/>
  <c r="I991" i="23"/>
  <c r="L991" i="23"/>
  <c r="G990" i="23"/>
  <c r="Q990" i="23" s="1"/>
  <c r="J992" i="23"/>
  <c r="H990" i="23"/>
  <c r="Q934" i="23"/>
  <c r="Q935" i="23"/>
  <c r="K986" i="23"/>
  <c r="K988" i="23"/>
  <c r="Q998" i="23"/>
  <c r="I998" i="23"/>
  <c r="G1008" i="23"/>
  <c r="Q1011" i="23"/>
  <c r="L1011" i="23"/>
  <c r="K1011" i="23"/>
  <c r="Q1032" i="23"/>
  <c r="I1032" i="23"/>
  <c r="L1032" i="23"/>
  <c r="G1031" i="23"/>
  <c r="Q1031" i="23" s="1"/>
  <c r="Q1036" i="23"/>
  <c r="I1036" i="23"/>
  <c r="L1036" i="23"/>
  <c r="K983" i="23"/>
  <c r="K985" i="23"/>
  <c r="L986" i="23"/>
  <c r="L988" i="23"/>
  <c r="G996" i="23"/>
  <c r="L996" i="23" s="1"/>
  <c r="J998" i="23"/>
  <c r="H999" i="23"/>
  <c r="Q1024" i="23"/>
  <c r="L1024" i="23"/>
  <c r="K1024" i="23"/>
  <c r="G1027" i="23"/>
  <c r="K1027" i="23" s="1"/>
  <c r="Q1030" i="23"/>
  <c r="I1030" i="23"/>
  <c r="L1030" i="23"/>
  <c r="G1029" i="23"/>
  <c r="K1029" i="23" s="1"/>
  <c r="Q1038" i="23"/>
  <c r="L1038" i="23"/>
  <c r="K1038" i="23"/>
  <c r="G1037" i="23"/>
  <c r="K1037" i="23" s="1"/>
  <c r="E1043" i="23"/>
  <c r="Q1051" i="23"/>
  <c r="G984" i="23"/>
  <c r="L984" i="23" s="1"/>
  <c r="H987" i="23"/>
  <c r="I988" i="23"/>
  <c r="H996" i="23"/>
  <c r="Q997" i="23"/>
  <c r="L997" i="23"/>
  <c r="G999" i="23"/>
  <c r="L999" i="23" s="1"/>
  <c r="K998" i="23"/>
  <c r="Q1019" i="23"/>
  <c r="L1019" i="23"/>
  <c r="K1019" i="23"/>
  <c r="Q1025" i="23"/>
  <c r="L1025" i="23"/>
  <c r="K1025" i="23"/>
  <c r="E1033" i="23"/>
  <c r="Q1039" i="23"/>
  <c r="L1039" i="23"/>
  <c r="K1039" i="23"/>
  <c r="K1010" i="23"/>
  <c r="Q1012" i="23"/>
  <c r="L1015" i="23"/>
  <c r="L1016" i="23"/>
  <c r="L1017" i="23"/>
  <c r="K1031" i="23"/>
  <c r="K1035" i="23"/>
  <c r="H1042" i="23"/>
  <c r="E1050" i="23"/>
  <c r="L1052" i="23"/>
  <c r="L1010" i="23"/>
  <c r="G1020" i="23"/>
  <c r="G1034" i="23"/>
  <c r="K1034" i="23" s="1"/>
  <c r="K1049" i="23"/>
  <c r="K624" i="23"/>
  <c r="Q624" i="23"/>
  <c r="K397" i="23"/>
  <c r="G106" i="23"/>
  <c r="Q397" i="23"/>
  <c r="G396" i="23"/>
  <c r="E60" i="7" l="1"/>
  <c r="I43" i="1"/>
  <c r="I42" i="1" s="1"/>
  <c r="E60" i="1"/>
  <c r="D60" i="1"/>
  <c r="H33" i="23"/>
  <c r="H719" i="23"/>
  <c r="H709" i="23"/>
  <c r="G721" i="23"/>
  <c r="G709" i="23" s="1"/>
  <c r="Q978" i="23"/>
  <c r="G974" i="23"/>
  <c r="L974" i="23" s="1"/>
  <c r="J1002" i="23"/>
  <c r="J1001" i="23" s="1"/>
  <c r="I970" i="23"/>
  <c r="L970" i="23"/>
  <c r="K967" i="23"/>
  <c r="L967" i="23"/>
  <c r="K740" i="23"/>
  <c r="K207" i="23"/>
  <c r="G206" i="23"/>
  <c r="Q206" i="23" s="1"/>
  <c r="Q254" i="23"/>
  <c r="K517" i="23"/>
  <c r="K219" i="23"/>
  <c r="G830" i="23"/>
  <c r="L830" i="23" s="1"/>
  <c r="K54" i="23"/>
  <c r="J18" i="23"/>
  <c r="E1002" i="23"/>
  <c r="E616" i="23" s="1"/>
  <c r="Q278" i="23"/>
  <c r="K650" i="23"/>
  <c r="K1047" i="23"/>
  <c r="K1008" i="23"/>
  <c r="J759" i="23"/>
  <c r="L281" i="23"/>
  <c r="K308" i="23"/>
  <c r="Q288" i="23"/>
  <c r="K189" i="23"/>
  <c r="K254" i="23"/>
  <c r="K190" i="23"/>
  <c r="K90" i="23"/>
  <c r="Q207" i="23"/>
  <c r="K86" i="23"/>
  <c r="G287" i="23"/>
  <c r="L287" i="23" s="1"/>
  <c r="Q86" i="23"/>
  <c r="L207" i="23"/>
  <c r="K288" i="23"/>
  <c r="K127" i="23"/>
  <c r="K162" i="23"/>
  <c r="Q517" i="23"/>
  <c r="G88" i="23"/>
  <c r="L88" i="23" s="1"/>
  <c r="J107" i="1"/>
  <c r="G1043" i="23"/>
  <c r="L1043" i="23" s="1"/>
  <c r="Q1047" i="23"/>
  <c r="K119" i="23"/>
  <c r="G248" i="23"/>
  <c r="K248" i="23" s="1"/>
  <c r="K319" i="23"/>
  <c r="Q230" i="23"/>
  <c r="K62" i="23"/>
  <c r="K192" i="23"/>
  <c r="I105" i="23"/>
  <c r="Q289" i="23"/>
  <c r="Q844" i="23"/>
  <c r="Q208" i="23"/>
  <c r="Q221" i="23"/>
  <c r="K208" i="23"/>
  <c r="K278" i="23"/>
  <c r="Q229" i="23"/>
  <c r="K126" i="23"/>
  <c r="I382" i="23"/>
  <c r="K122" i="23"/>
  <c r="K37" i="23"/>
  <c r="I92" i="23"/>
  <c r="I91" i="23" s="1"/>
  <c r="K229" i="23"/>
  <c r="H206" i="23"/>
  <c r="Q817" i="23"/>
  <c r="L911" i="23"/>
  <c r="Q412" i="23"/>
  <c r="L720" i="23"/>
  <c r="K608" i="23"/>
  <c r="K678" i="23"/>
  <c r="F1040" i="23"/>
  <c r="K50" i="23"/>
  <c r="K176" i="23"/>
  <c r="K296" i="23"/>
  <c r="L265" i="23"/>
  <c r="K182" i="23"/>
  <c r="K289" i="23"/>
  <c r="K63" i="23"/>
  <c r="H828" i="23"/>
  <c r="K230" i="23"/>
  <c r="J685" i="23"/>
  <c r="Q272" i="23"/>
  <c r="L19" i="23"/>
  <c r="K873" i="23"/>
  <c r="Q751" i="23"/>
  <c r="L289" i="23"/>
  <c r="K175" i="23"/>
  <c r="Q873" i="23"/>
  <c r="K98" i="23"/>
  <c r="Q967" i="23"/>
  <c r="Q911" i="23"/>
  <c r="K262" i="23"/>
  <c r="Q245" i="23"/>
  <c r="E32" i="23"/>
  <c r="E31" i="23" s="1"/>
  <c r="J83" i="1"/>
  <c r="K276" i="23"/>
  <c r="L297" i="23"/>
  <c r="L650" i="23"/>
  <c r="G94" i="23"/>
  <c r="L94" i="23" s="1"/>
  <c r="G125" i="23"/>
  <c r="L125" i="23" s="1"/>
  <c r="K199" i="23"/>
  <c r="K751" i="23"/>
  <c r="L728" i="23"/>
  <c r="Q297" i="23"/>
  <c r="L293" i="23"/>
  <c r="Q265" i="23"/>
  <c r="L301" i="23"/>
  <c r="K188" i="23"/>
  <c r="K121" i="23"/>
  <c r="Q820" i="23"/>
  <c r="H749" i="23"/>
  <c r="K211" i="23"/>
  <c r="K159" i="23"/>
  <c r="H419" i="23"/>
  <c r="H418" i="23" s="1"/>
  <c r="K153" i="23"/>
  <c r="K183" i="23"/>
  <c r="K293" i="23"/>
  <c r="H83" i="23"/>
  <c r="H18" i="23"/>
  <c r="H14" i="23" s="1"/>
  <c r="J86" i="1"/>
  <c r="I72" i="23"/>
  <c r="G649" i="23"/>
  <c r="L649" i="23" s="1"/>
  <c r="K134" i="23"/>
  <c r="K820" i="23"/>
  <c r="Q728" i="23"/>
  <c r="G727" i="23"/>
  <c r="Q727" i="23" s="1"/>
  <c r="H306" i="23"/>
  <c r="K301" i="23"/>
  <c r="Q268" i="23"/>
  <c r="F730" i="23"/>
  <c r="Q211" i="23"/>
  <c r="K203" i="23"/>
  <c r="K128" i="23"/>
  <c r="K166" i="23"/>
  <c r="K51" i="23"/>
  <c r="I134" i="23"/>
  <c r="K107" i="23"/>
  <c r="F32" i="23"/>
  <c r="F31" i="23" s="1"/>
  <c r="K265" i="23"/>
  <c r="K205" i="23"/>
  <c r="I759" i="23"/>
  <c r="K597" i="23"/>
  <c r="Q281" i="23"/>
  <c r="J381" i="23"/>
  <c r="J90" i="23" s="1"/>
  <c r="F1001" i="23"/>
  <c r="Q59" i="23"/>
  <c r="K174" i="23"/>
  <c r="I40" i="23"/>
  <c r="K180" i="23"/>
  <c r="K1044" i="23"/>
  <c r="J1000" i="23"/>
  <c r="E1005" i="23"/>
  <c r="E1004" i="23" s="1"/>
  <c r="K933" i="23"/>
  <c r="Q276" i="23"/>
  <c r="K251" i="23"/>
  <c r="Q109" i="23"/>
  <c r="Q1044" i="23"/>
  <c r="K519" i="23"/>
  <c r="Q24" i="23"/>
  <c r="K77" i="23"/>
  <c r="F93" i="23"/>
  <c r="K65" i="1"/>
  <c r="K202" i="23"/>
  <c r="Q933" i="23"/>
  <c r="L219" i="23"/>
  <c r="H144" i="23"/>
  <c r="I709" i="23"/>
  <c r="Q379" i="23"/>
  <c r="G324" i="23"/>
  <c r="Q324" i="23" s="1"/>
  <c r="H1000" i="23"/>
  <c r="H995" i="23" s="1"/>
  <c r="I657" i="23"/>
  <c r="L249" i="23"/>
  <c r="K245" i="23"/>
  <c r="K24" i="23"/>
  <c r="K47" i="23"/>
  <c r="K158" i="23"/>
  <c r="K89" i="23"/>
  <c r="L251" i="23"/>
  <c r="L379" i="23"/>
  <c r="K185" i="23"/>
  <c r="K146" i="23"/>
  <c r="K59" i="23"/>
  <c r="K258" i="23"/>
  <c r="G165" i="23"/>
  <c r="L165" i="23" s="1"/>
  <c r="H82" i="23"/>
  <c r="H36" i="23"/>
  <c r="H32" i="23" s="1"/>
  <c r="H31" i="23" s="1"/>
  <c r="Q549" i="23"/>
  <c r="Q577" i="23"/>
  <c r="J731" i="23"/>
  <c r="J730" i="23" s="1"/>
  <c r="E144" i="23"/>
  <c r="L247" i="23"/>
  <c r="F144" i="23"/>
  <c r="G231" i="23"/>
  <c r="L231" i="23" s="1"/>
  <c r="C65" i="1"/>
  <c r="K884" i="23"/>
  <c r="K863" i="23"/>
  <c r="Q516" i="23"/>
  <c r="K833" i="23"/>
  <c r="L577" i="23"/>
  <c r="Q393" i="23"/>
  <c r="K234" i="23"/>
  <c r="K589" i="23"/>
  <c r="H731" i="23"/>
  <c r="H730" i="23" s="1"/>
  <c r="K545" i="23"/>
  <c r="J124" i="23"/>
  <c r="G151" i="23"/>
  <c r="L151" i="23" s="1"/>
  <c r="L232" i="23"/>
  <c r="K671" i="23"/>
  <c r="L642" i="23"/>
  <c r="I731" i="23"/>
  <c r="I730" i="23" s="1"/>
  <c r="F683" i="23"/>
  <c r="F674" i="23" s="1"/>
  <c r="H683" i="23"/>
  <c r="H674" i="23" s="1"/>
  <c r="L833" i="23"/>
  <c r="G204" i="23"/>
  <c r="L204" i="23" s="1"/>
  <c r="I778" i="23"/>
  <c r="Q340" i="23"/>
  <c r="K285" i="23"/>
  <c r="F1005" i="23"/>
  <c r="F1004" i="23" s="1"/>
  <c r="F1000" i="23" s="1"/>
  <c r="F995" i="23" s="1"/>
  <c r="Q407" i="23"/>
  <c r="Q234" i="23"/>
  <c r="Q203" i="23"/>
  <c r="K232" i="23"/>
  <c r="K147" i="23"/>
  <c r="K21" i="23"/>
  <c r="J144" i="23"/>
  <c r="Q952" i="23"/>
  <c r="L952" i="23"/>
  <c r="Q784" i="23"/>
  <c r="K223" i="23"/>
  <c r="H110" i="23"/>
  <c r="K918" i="23"/>
  <c r="Q589" i="23"/>
  <c r="G374" i="23"/>
  <c r="Q374" i="23" s="1"/>
  <c r="K247" i="23"/>
  <c r="K321" i="23"/>
  <c r="F305" i="23"/>
  <c r="I33" i="23"/>
  <c r="K952" i="23"/>
  <c r="Q581" i="23"/>
  <c r="E629" i="23"/>
  <c r="E621" i="23" s="1"/>
  <c r="E620" i="23" s="1"/>
  <c r="I18" i="23"/>
  <c r="K581" i="23"/>
  <c r="K358" i="23"/>
  <c r="I977" i="23"/>
  <c r="H684" i="23"/>
  <c r="Q237" i="23"/>
  <c r="G252" i="23"/>
  <c r="L252" i="23" s="1"/>
  <c r="J37" i="23"/>
  <c r="J34" i="23"/>
  <c r="J976" i="23"/>
  <c r="K940" i="23"/>
  <c r="L804" i="23"/>
  <c r="Q886" i="23"/>
  <c r="H384" i="23"/>
  <c r="Q253" i="23"/>
  <c r="H105" i="23"/>
  <c r="I660" i="23"/>
  <c r="Q220" i="23"/>
  <c r="H132" i="23"/>
  <c r="H131" i="23" s="1"/>
  <c r="L321" i="23"/>
  <c r="K844" i="23"/>
  <c r="Q977" i="23"/>
  <c r="L237" i="23"/>
  <c r="Q223" i="23"/>
  <c r="K115" i="23"/>
  <c r="Q58" i="23"/>
  <c r="K58" i="23"/>
  <c r="G513" i="23"/>
  <c r="K513" i="23" s="1"/>
  <c r="Q205" i="23"/>
  <c r="Q319" i="23"/>
  <c r="G318" i="23"/>
  <c r="I319" i="23"/>
  <c r="Q1023" i="23"/>
  <c r="Q947" i="23"/>
  <c r="H831" i="23"/>
  <c r="H827" i="23" s="1"/>
  <c r="Q918" i="23"/>
  <c r="Q885" i="23"/>
  <c r="Q804" i="23"/>
  <c r="L884" i="23"/>
  <c r="J829" i="23"/>
  <c r="L516" i="23"/>
  <c r="I412" i="23"/>
  <c r="I411" i="23" s="1"/>
  <c r="I820" i="23"/>
  <c r="I767" i="23" s="1"/>
  <c r="K469" i="23"/>
  <c r="J441" i="23"/>
  <c r="J380" i="23"/>
  <c r="J379" i="23" s="1"/>
  <c r="Q274" i="23"/>
  <c r="Q608" i="23"/>
  <c r="L483" i="23"/>
  <c r="Q296" i="23"/>
  <c r="K272" i="23"/>
  <c r="Q226" i="23"/>
  <c r="K218" i="23"/>
  <c r="I65" i="1"/>
  <c r="K981" i="23"/>
  <c r="Q1014" i="23"/>
  <c r="K382" i="23"/>
  <c r="G279" i="23"/>
  <c r="L279" i="23" s="1"/>
  <c r="K220" i="23"/>
  <c r="K152" i="23"/>
  <c r="L255" i="23"/>
  <c r="K179" i="23"/>
  <c r="K155" i="23"/>
  <c r="Q189" i="23"/>
  <c r="Q232" i="23"/>
  <c r="K136" i="23"/>
  <c r="K516" i="23"/>
  <c r="I421" i="23"/>
  <c r="I420" i="23" s="1"/>
  <c r="I419" i="23" s="1"/>
  <c r="I418" i="23" s="1"/>
  <c r="F171" i="23"/>
  <c r="L21" i="23"/>
  <c r="I144" i="23"/>
  <c r="I68" i="23"/>
  <c r="I67" i="23" s="1"/>
  <c r="L28" i="23"/>
  <c r="G27" i="23"/>
  <c r="F42" i="23"/>
  <c r="I1041" i="23"/>
  <c r="Q642" i="23"/>
  <c r="L340" i="23"/>
  <c r="Q382" i="23"/>
  <c r="K280" i="23"/>
  <c r="K255" i="23"/>
  <c r="K340" i="23"/>
  <c r="K221" i="23"/>
  <c r="K1023" i="23"/>
  <c r="K167" i="23"/>
  <c r="K138" i="23"/>
  <c r="L68" i="23"/>
  <c r="L67" i="23"/>
  <c r="Q238" i="23"/>
  <c r="K168" i="23"/>
  <c r="K177" i="23"/>
  <c r="I358" i="23"/>
  <c r="L80" i="23"/>
  <c r="G79" i="23"/>
  <c r="Q74" i="23"/>
  <c r="Q1008" i="23"/>
  <c r="K889" i="23"/>
  <c r="G879" i="23"/>
  <c r="L879" i="23" s="1"/>
  <c r="K794" i="23"/>
  <c r="I775" i="23"/>
  <c r="K886" i="23"/>
  <c r="Q532" i="23"/>
  <c r="K720" i="23"/>
  <c r="M712" i="23"/>
  <c r="K261" i="23"/>
  <c r="K532" i="23"/>
  <c r="L253" i="23"/>
  <c r="K253" i="23"/>
  <c r="K80" i="23"/>
  <c r="G118" i="23"/>
  <c r="Q118" i="23" s="1"/>
  <c r="Q981" i="23"/>
  <c r="Q842" i="23"/>
  <c r="H723" i="23"/>
  <c r="H722" i="23" s="1"/>
  <c r="L562" i="23"/>
  <c r="L842" i="23"/>
  <c r="Q262" i="23"/>
  <c r="Q657" i="23"/>
  <c r="K169" i="23"/>
  <c r="K149" i="23"/>
  <c r="K67" i="23"/>
  <c r="H94" i="23"/>
  <c r="K1014" i="23"/>
  <c r="J432" i="23"/>
  <c r="J182" i="23" s="1"/>
  <c r="I182" i="23"/>
  <c r="J417" i="23"/>
  <c r="J140" i="23" s="1"/>
  <c r="I140" i="23"/>
  <c r="L70" i="23"/>
  <c r="G69" i="23"/>
  <c r="Q1029" i="23"/>
  <c r="Q940" i="23"/>
  <c r="G841" i="23"/>
  <c r="L841" i="23" s="1"/>
  <c r="K885" i="23"/>
  <c r="K817" i="23"/>
  <c r="J723" i="23"/>
  <c r="J722" i="23" s="1"/>
  <c r="J719" i="23"/>
  <c r="Q671" i="23"/>
  <c r="G767" i="23"/>
  <c r="Q767" i="23" s="1"/>
  <c r="Q545" i="23"/>
  <c r="I768" i="23"/>
  <c r="G401" i="23"/>
  <c r="K401" i="23" s="1"/>
  <c r="Q358" i="23"/>
  <c r="Q258" i="23"/>
  <c r="Q249" i="23"/>
  <c r="K238" i="23"/>
  <c r="I651" i="23"/>
  <c r="I649" i="23" s="1"/>
  <c r="Q789" i="23"/>
  <c r="H334" i="23"/>
  <c r="G336" i="23"/>
  <c r="G335" i="23" s="1"/>
  <c r="Q280" i="23"/>
  <c r="K268" i="23"/>
  <c r="F707" i="23"/>
  <c r="K549" i="23"/>
  <c r="K249" i="23"/>
  <c r="G187" i="23"/>
  <c r="L187" i="23" s="1"/>
  <c r="Q95" i="23"/>
  <c r="K45" i="23"/>
  <c r="K95" i="23"/>
  <c r="K226" i="23"/>
  <c r="K74" i="23"/>
  <c r="Q889" i="23"/>
  <c r="K870" i="23"/>
  <c r="I723" i="23"/>
  <c r="I722" i="23" s="1"/>
  <c r="G723" i="23"/>
  <c r="Q740" i="23"/>
  <c r="K657" i="23"/>
  <c r="K562" i="23"/>
  <c r="Q261" i="23"/>
  <c r="K150" i="23"/>
  <c r="G267" i="23"/>
  <c r="L267" i="23" s="1"/>
  <c r="K68" i="23"/>
  <c r="K35" i="23"/>
  <c r="G124" i="23"/>
  <c r="K124" i="23" s="1"/>
  <c r="K108" i="23"/>
  <c r="G33" i="23"/>
  <c r="L33" i="23" s="1"/>
  <c r="Q218" i="23"/>
  <c r="K193" i="23"/>
  <c r="K1053" i="23"/>
  <c r="I990" i="23"/>
  <c r="I974" i="23" s="1"/>
  <c r="I936" i="23" s="1"/>
  <c r="G921" i="23"/>
  <c r="K921" i="23" s="1"/>
  <c r="K898" i="23"/>
  <c r="Q527" i="23"/>
  <c r="Q497" i="23"/>
  <c r="I446" i="23"/>
  <c r="K357" i="23"/>
  <c r="H171" i="23"/>
  <c r="G65" i="23"/>
  <c r="K65" i="23" s="1"/>
  <c r="L778" i="23"/>
  <c r="K492" i="23"/>
  <c r="H72" i="23"/>
  <c r="H42" i="23" s="1"/>
  <c r="L285" i="23"/>
  <c r="E93" i="23"/>
  <c r="Q651" i="23"/>
  <c r="J751" i="23"/>
  <c r="J749" i="23" s="1"/>
  <c r="J68" i="23"/>
  <c r="J67" i="23" s="1"/>
  <c r="Q45" i="23"/>
  <c r="J387" i="23"/>
  <c r="I96" i="23"/>
  <c r="K859" i="23"/>
  <c r="Q492" i="23"/>
  <c r="K651" i="23"/>
  <c r="K376" i="23"/>
  <c r="H216" i="23"/>
  <c r="K527" i="23"/>
  <c r="L325" i="23"/>
  <c r="I94" i="23"/>
  <c r="K497" i="23"/>
  <c r="K951" i="23"/>
  <c r="J906" i="23"/>
  <c r="J901" i="23" s="1"/>
  <c r="H648" i="23"/>
  <c r="H618" i="23" s="1"/>
  <c r="H373" i="23"/>
  <c r="K154" i="23"/>
  <c r="Q794" i="23"/>
  <c r="L678" i="23"/>
  <c r="C76" i="1"/>
  <c r="I76" i="1" s="1"/>
  <c r="K76" i="1" s="1"/>
  <c r="I216" i="23"/>
  <c r="H975" i="23"/>
  <c r="H921" i="23"/>
  <c r="Q898" i="23"/>
  <c r="H974" i="23"/>
  <c r="H936" i="23" s="1"/>
  <c r="F936" i="23"/>
  <c r="I921" i="23"/>
  <c r="K917" i="23"/>
  <c r="Q483" i="23"/>
  <c r="H1001" i="23"/>
  <c r="F372" i="23"/>
  <c r="Q325" i="23"/>
  <c r="Q60" i="23"/>
  <c r="L514" i="23"/>
  <c r="G201" i="23"/>
  <c r="Q514" i="23"/>
  <c r="L922" i="23"/>
  <c r="Q922" i="23"/>
  <c r="L750" i="23"/>
  <c r="G744" i="23"/>
  <c r="L744" i="23" s="1"/>
  <c r="Q750" i="23"/>
  <c r="I83" i="23"/>
  <c r="Q23" i="23"/>
  <c r="Q64" i="23"/>
  <c r="I1042" i="23"/>
  <c r="I1003" i="23"/>
  <c r="I910" i="23"/>
  <c r="Q970" i="23"/>
  <c r="Q772" i="23"/>
  <c r="K274" i="23"/>
  <c r="F266" i="23"/>
  <c r="K269" i="23"/>
  <c r="K778" i="23"/>
  <c r="I36" i="23"/>
  <c r="Q697" i="23"/>
  <c r="K294" i="23"/>
  <c r="E707" i="23"/>
  <c r="E712" i="23"/>
  <c r="E711" i="23" s="1"/>
  <c r="K931" i="23"/>
  <c r="I744" i="23"/>
  <c r="E719" i="23"/>
  <c r="K925" i="23"/>
  <c r="L925" i="23"/>
  <c r="K895" i="23"/>
  <c r="L895" i="23"/>
  <c r="Q739" i="23"/>
  <c r="Q597" i="23"/>
  <c r="Q519" i="23"/>
  <c r="K822" i="23"/>
  <c r="L822" i="23"/>
  <c r="K163" i="23"/>
  <c r="K52" i="23"/>
  <c r="L52" i="23"/>
  <c r="I751" i="23"/>
  <c r="I749" i="23" s="1"/>
  <c r="Q357" i="23"/>
  <c r="K60" i="23"/>
  <c r="K38" i="23"/>
  <c r="G217" i="23"/>
  <c r="L217" i="23" s="1"/>
  <c r="K1041" i="23"/>
  <c r="L1041" i="23"/>
  <c r="C111" i="1"/>
  <c r="I111" i="1" s="1"/>
  <c r="K111" i="1" s="1"/>
  <c r="L798" i="23"/>
  <c r="K798" i="23"/>
  <c r="K976" i="23"/>
  <c r="K996" i="23"/>
  <c r="H910" i="23"/>
  <c r="K772" i="23"/>
  <c r="L651" i="23"/>
  <c r="Q700" i="23"/>
  <c r="L269" i="23"/>
  <c r="J72" i="23"/>
  <c r="K23" i="23"/>
  <c r="I1002" i="23"/>
  <c r="I1007" i="23"/>
  <c r="K922" i="23"/>
  <c r="G802" i="23"/>
  <c r="K802" i="23" s="1"/>
  <c r="I70" i="23"/>
  <c r="I69" i="23" s="1"/>
  <c r="I360" i="23"/>
  <c r="J361" i="23"/>
  <c r="L209" i="23"/>
  <c r="Q209" i="23"/>
  <c r="G235" i="23"/>
  <c r="L236" i="23"/>
  <c r="Q236" i="23"/>
  <c r="J431" i="23"/>
  <c r="J181" i="23" s="1"/>
  <c r="I181" i="23"/>
  <c r="G928" i="23"/>
  <c r="K928" i="23" s="1"/>
  <c r="K406" i="23"/>
  <c r="L406" i="23"/>
  <c r="G117" i="23"/>
  <c r="G110" i="23" s="1"/>
  <c r="L110" i="23" s="1"/>
  <c r="Q1053" i="23"/>
  <c r="F906" i="23"/>
  <c r="F901" i="23" s="1"/>
  <c r="K970" i="23"/>
  <c r="K850" i="23"/>
  <c r="K739" i="23"/>
  <c r="H767" i="23"/>
  <c r="H766" i="23" s="1"/>
  <c r="K750" i="23"/>
  <c r="I379" i="23"/>
  <c r="I374" i="23" s="1"/>
  <c r="Q269" i="23"/>
  <c r="K137" i="23"/>
  <c r="K875" i="23"/>
  <c r="L875" i="23"/>
  <c r="K838" i="23"/>
  <c r="L838" i="23"/>
  <c r="Q931" i="23"/>
  <c r="Q870" i="23"/>
  <c r="Q798" i="23"/>
  <c r="J782" i="23"/>
  <c r="J781" i="23" s="1"/>
  <c r="I781" i="23"/>
  <c r="L977" i="23"/>
  <c r="C97" i="1"/>
  <c r="I97" i="1" s="1"/>
  <c r="K97" i="1" s="1"/>
  <c r="G636" i="23"/>
  <c r="G629" i="23" s="1"/>
  <c r="J423" i="23"/>
  <c r="I173" i="23"/>
  <c r="G271" i="23"/>
  <c r="L271" i="23" s="1"/>
  <c r="K236" i="23"/>
  <c r="G160" i="23"/>
  <c r="K160" i="23" s="1"/>
  <c r="K64" i="23"/>
  <c r="K407" i="23"/>
  <c r="F446" i="23"/>
  <c r="F447" i="23"/>
  <c r="L1037" i="23"/>
  <c r="J58" i="1"/>
  <c r="K58" i="1" s="1"/>
  <c r="Q999" i="23"/>
  <c r="G903" i="23"/>
  <c r="K903" i="23" s="1"/>
  <c r="L908" i="23"/>
  <c r="G907" i="23"/>
  <c r="L907" i="23" s="1"/>
  <c r="I907" i="23"/>
  <c r="I903" i="23"/>
  <c r="I902" i="23" s="1"/>
  <c r="Q441" i="23"/>
  <c r="L441" i="23"/>
  <c r="K462" i="23"/>
  <c r="E373" i="23"/>
  <c r="G102" i="23"/>
  <c r="L103" i="23"/>
  <c r="J396" i="23"/>
  <c r="J107" i="23"/>
  <c r="J105" i="23" s="1"/>
  <c r="L645" i="23"/>
  <c r="K645" i="23"/>
  <c r="G227" i="23"/>
  <c r="L228" i="23"/>
  <c r="Q228" i="23"/>
  <c r="J382" i="23"/>
  <c r="J92" i="23"/>
  <c r="J91" i="23" s="1"/>
  <c r="Q264" i="23"/>
  <c r="L264" i="23"/>
  <c r="E18" i="23"/>
  <c r="K19" i="23"/>
  <c r="Q645" i="23"/>
  <c r="F83" i="23"/>
  <c r="F82" i="23" s="1"/>
  <c r="G1018" i="23"/>
  <c r="L1018" i="23" s="1"/>
  <c r="L1020" i="23"/>
  <c r="G1028" i="23"/>
  <c r="K1028" i="23" s="1"/>
  <c r="I1029" i="23"/>
  <c r="L1029" i="23"/>
  <c r="L1027" i="23"/>
  <c r="I1027" i="23"/>
  <c r="J999" i="23"/>
  <c r="J996" i="23"/>
  <c r="I999" i="23"/>
  <c r="I996" i="23"/>
  <c r="Q984" i="23"/>
  <c r="I987" i="23"/>
  <c r="G1050" i="23"/>
  <c r="K1050" i="23" s="1"/>
  <c r="K1020" i="23"/>
  <c r="L978" i="23"/>
  <c r="G975" i="23"/>
  <c r="L976" i="23"/>
  <c r="C96" i="1"/>
  <c r="L951" i="23"/>
  <c r="Q951" i="23"/>
  <c r="L909" i="23"/>
  <c r="G904" i="23"/>
  <c r="Q904" i="23" s="1"/>
  <c r="J907" i="23"/>
  <c r="J903" i="23"/>
  <c r="J902" i="23" s="1"/>
  <c r="L867" i="23"/>
  <c r="G866" i="23"/>
  <c r="L866" i="23" s="1"/>
  <c r="I850" i="23"/>
  <c r="I831" i="23" s="1"/>
  <c r="I827" i="23" s="1"/>
  <c r="J852" i="23"/>
  <c r="J850" i="23" s="1"/>
  <c r="G738" i="23"/>
  <c r="L741" i="23"/>
  <c r="Q741" i="23"/>
  <c r="Q971" i="23"/>
  <c r="E828" i="23"/>
  <c r="L863" i="23"/>
  <c r="G862" i="23"/>
  <c r="L862" i="23" s="1"/>
  <c r="J744" i="23"/>
  <c r="Q847" i="23"/>
  <c r="Q786" i="23"/>
  <c r="I712" i="23"/>
  <c r="I711" i="23" s="1"/>
  <c r="H712" i="23"/>
  <c r="H711" i="23" s="1"/>
  <c r="F711" i="23"/>
  <c r="J712" i="23"/>
  <c r="J711" i="23" s="1"/>
  <c r="G693" i="23"/>
  <c r="Q694" i="23"/>
  <c r="L694" i="23"/>
  <c r="L541" i="23"/>
  <c r="Q541" i="23"/>
  <c r="Q909" i="23"/>
  <c r="K835" i="23"/>
  <c r="K784" i="23"/>
  <c r="Q755" i="23"/>
  <c r="L680" i="23"/>
  <c r="K680" i="23"/>
  <c r="G679" i="23"/>
  <c r="E663" i="23"/>
  <c r="K441" i="23"/>
  <c r="Q908" i="23"/>
  <c r="Q811" i="23"/>
  <c r="L811" i="23"/>
  <c r="E730" i="23"/>
  <c r="L736" i="23"/>
  <c r="G735" i="23"/>
  <c r="L735" i="23" s="1"/>
  <c r="Q736" i="23"/>
  <c r="K694" i="23"/>
  <c r="G684" i="23"/>
  <c r="L684" i="23" s="1"/>
  <c r="L685" i="23"/>
  <c r="C78" i="1"/>
  <c r="O623" i="23"/>
  <c r="F619" i="23"/>
  <c r="F618" i="23" s="1"/>
  <c r="K605" i="23"/>
  <c r="L605" i="23"/>
  <c r="E216" i="23"/>
  <c r="J788" i="23"/>
  <c r="J786" i="23" s="1"/>
  <c r="I786" i="23"/>
  <c r="L775" i="23"/>
  <c r="K775" i="23"/>
  <c r="J768" i="23"/>
  <c r="K700" i="23"/>
  <c r="E683" i="23"/>
  <c r="E674" i="23" s="1"/>
  <c r="L593" i="23"/>
  <c r="Q593" i="23"/>
  <c r="G576" i="23"/>
  <c r="L576" i="23" s="1"/>
  <c r="K455" i="23"/>
  <c r="G454" i="23"/>
  <c r="Q454" i="23" s="1"/>
  <c r="L455" i="23"/>
  <c r="K438" i="23"/>
  <c r="K393" i="23"/>
  <c r="K300" i="23"/>
  <c r="N922" i="23"/>
  <c r="G44" i="23"/>
  <c r="L46" i="23"/>
  <c r="L259" i="23"/>
  <c r="Q259" i="23"/>
  <c r="G243" i="23"/>
  <c r="L243" i="23" s="1"/>
  <c r="L244" i="23"/>
  <c r="L451" i="23"/>
  <c r="Q451" i="23"/>
  <c r="G450" i="23"/>
  <c r="Q450" i="23" s="1"/>
  <c r="Q660" i="23"/>
  <c r="Q286" i="23"/>
  <c r="L286" i="23"/>
  <c r="L537" i="23"/>
  <c r="Q537" i="23"/>
  <c r="Q508" i="23"/>
  <c r="E449" i="23"/>
  <c r="J371" i="23"/>
  <c r="I370" i="23"/>
  <c r="I369" i="23" s="1"/>
  <c r="I80" i="23"/>
  <c r="I79" i="23" s="1"/>
  <c r="I78" i="23" s="1"/>
  <c r="E266" i="23"/>
  <c r="K259" i="23"/>
  <c r="L145" i="23"/>
  <c r="K458" i="23"/>
  <c r="G298" i="23"/>
  <c r="Q277" i="23"/>
  <c r="L277" i="23"/>
  <c r="K277" i="23"/>
  <c r="G275" i="23"/>
  <c r="Q76" i="23"/>
  <c r="K697" i="23"/>
  <c r="Q436" i="23"/>
  <c r="G363" i="23"/>
  <c r="L363" i="23" s="1"/>
  <c r="L364" i="23"/>
  <c r="L469" i="23"/>
  <c r="G468" i="23"/>
  <c r="L468" i="23" s="1"/>
  <c r="I447" i="23"/>
  <c r="J363" i="23"/>
  <c r="K76" i="23"/>
  <c r="I25" i="1"/>
  <c r="K46" i="23"/>
  <c r="E82" i="23"/>
  <c r="G16" i="23"/>
  <c r="L17" i="23"/>
  <c r="Q364" i="23"/>
  <c r="Q244" i="23"/>
  <c r="L914" i="23"/>
  <c r="G910" i="23"/>
  <c r="N910" i="23" s="1"/>
  <c r="I719" i="23"/>
  <c r="L652" i="23"/>
  <c r="G648" i="23"/>
  <c r="L648" i="23" s="1"/>
  <c r="E306" i="23"/>
  <c r="G132" i="23"/>
  <c r="K132" i="23" s="1"/>
  <c r="L133" i="23"/>
  <c r="L703" i="23"/>
  <c r="K703" i="23"/>
  <c r="Q640" i="23"/>
  <c r="K558" i="23"/>
  <c r="L300" i="23"/>
  <c r="G295" i="23"/>
  <c r="L295" i="23" s="1"/>
  <c r="Q438" i="23"/>
  <c r="K999" i="23"/>
  <c r="Q1037" i="23"/>
  <c r="I1031" i="23"/>
  <c r="L1031" i="23"/>
  <c r="Q1027" i="23"/>
  <c r="J977" i="23"/>
  <c r="J990" i="23"/>
  <c r="J974" i="23" s="1"/>
  <c r="J936" i="23" s="1"/>
  <c r="L1042" i="23"/>
  <c r="K1042" i="23"/>
  <c r="C112" i="1"/>
  <c r="Q1020" i="23"/>
  <c r="K984" i="23"/>
  <c r="M933" i="23"/>
  <c r="F831" i="23"/>
  <c r="F827" i="23" s="1"/>
  <c r="J861" i="23"/>
  <c r="J859" i="23" s="1"/>
  <c r="I859" i="23"/>
  <c r="I828" i="23"/>
  <c r="H907" i="23"/>
  <c r="H903" i="23"/>
  <c r="H902" i="23" s="1"/>
  <c r="K890" i="23"/>
  <c r="K847" i="23"/>
  <c r="K786" i="23"/>
  <c r="K741" i="23"/>
  <c r="L763" i="23"/>
  <c r="Q763" i="23"/>
  <c r="K755" i="23"/>
  <c r="H617" i="23"/>
  <c r="H649" i="23"/>
  <c r="L623" i="23"/>
  <c r="C63" i="1"/>
  <c r="J133" i="23"/>
  <c r="Q703" i="23"/>
  <c r="K686" i="23"/>
  <c r="C79" i="1"/>
  <c r="I79" i="1" s="1"/>
  <c r="K79" i="1" s="1"/>
  <c r="L686" i="23"/>
  <c r="H447" i="23"/>
  <c r="H446" i="23"/>
  <c r="L328" i="23"/>
  <c r="K328" i="23"/>
  <c r="G39" i="23"/>
  <c r="Q328" i="23"/>
  <c r="G29" i="23"/>
  <c r="L30" i="23"/>
  <c r="G411" i="23"/>
  <c r="L412" i="23"/>
  <c r="J308" i="23"/>
  <c r="J307" i="23" s="1"/>
  <c r="J306" i="23" s="1"/>
  <c r="J17" i="23"/>
  <c r="J16" i="23" s="1"/>
  <c r="J15" i="23" s="1"/>
  <c r="Q996" i="23"/>
  <c r="L553" i="23"/>
  <c r="Q553" i="23"/>
  <c r="Q914" i="23"/>
  <c r="H765" i="23"/>
  <c r="I772" i="23"/>
  <c r="K660" i="23"/>
  <c r="G239" i="23"/>
  <c r="L240" i="23"/>
  <c r="K508" i="23"/>
  <c r="J395" i="23"/>
  <c r="I393" i="23"/>
  <c r="I104" i="23"/>
  <c r="I102" i="23" s="1"/>
  <c r="L370" i="23"/>
  <c r="K370" i="23"/>
  <c r="G369" i="23"/>
  <c r="L369" i="23" s="1"/>
  <c r="K286" i="23"/>
  <c r="K264" i="23"/>
  <c r="K228" i="23"/>
  <c r="L75" i="23"/>
  <c r="G73" i="23"/>
  <c r="Q73" i="23" s="1"/>
  <c r="Q48" i="23"/>
  <c r="K48" i="23"/>
  <c r="K990" i="23"/>
  <c r="G731" i="23"/>
  <c r="Q731" i="23" s="1"/>
  <c r="Q623" i="23"/>
  <c r="L292" i="23"/>
  <c r="G291" i="23"/>
  <c r="L291" i="23" s="1"/>
  <c r="E453" i="23"/>
  <c r="G421" i="23"/>
  <c r="Q421" i="23" s="1"/>
  <c r="G256" i="23"/>
  <c r="L257" i="23"/>
  <c r="K257" i="23"/>
  <c r="K240" i="23"/>
  <c r="J216" i="23"/>
  <c r="Q46" i="23"/>
  <c r="J709" i="23"/>
  <c r="L585" i="23"/>
  <c r="Q585" i="23"/>
  <c r="L759" i="23"/>
  <c r="K759" i="23"/>
  <c r="J690" i="23"/>
  <c r="I686" i="23"/>
  <c r="I684" i="23" s="1"/>
  <c r="I688" i="23"/>
  <c r="I687" i="23" s="1"/>
  <c r="I683" i="23" s="1"/>
  <c r="I674" i="23" s="1"/>
  <c r="K292" i="23"/>
  <c r="K145" i="23"/>
  <c r="K25" i="23"/>
  <c r="K242" i="23"/>
  <c r="K178" i="23"/>
  <c r="K104" i="23"/>
  <c r="K75" i="23"/>
  <c r="F131" i="23"/>
  <c r="K17" i="23"/>
  <c r="E171" i="23"/>
  <c r="L1034" i="23"/>
  <c r="G1033" i="23"/>
  <c r="Q1033" i="23" s="1"/>
  <c r="I1034" i="23"/>
  <c r="K987" i="23"/>
  <c r="G939" i="23"/>
  <c r="K939" i="23" s="1"/>
  <c r="L971" i="23"/>
  <c r="E902" i="23"/>
  <c r="L947" i="23"/>
  <c r="G938" i="23"/>
  <c r="E856" i="23"/>
  <c r="E832" i="23"/>
  <c r="G809" i="23"/>
  <c r="Q809" i="23" s="1"/>
  <c r="F821" i="23"/>
  <c r="L677" i="23"/>
  <c r="G675" i="23"/>
  <c r="C75" i="1"/>
  <c r="F616" i="23"/>
  <c r="Q652" i="23"/>
  <c r="Q224" i="23"/>
  <c r="L224" i="23"/>
  <c r="G222" i="23"/>
  <c r="Q222" i="23" s="1"/>
  <c r="G461" i="23"/>
  <c r="L461" i="23" s="1"/>
  <c r="L462" i="23"/>
  <c r="K224" i="23"/>
  <c r="L666" i="23"/>
  <c r="G665" i="23"/>
  <c r="Q665" i="23" s="1"/>
  <c r="Q314" i="23"/>
  <c r="L314" i="23"/>
  <c r="G310" i="23"/>
  <c r="L310" i="23" s="1"/>
  <c r="L113" i="23"/>
  <c r="K263" i="23"/>
  <c r="Q1034" i="23"/>
  <c r="E1040" i="23"/>
  <c r="G1007" i="23"/>
  <c r="G1002" i="23"/>
  <c r="L1008" i="23"/>
  <c r="E1003" i="23"/>
  <c r="I976" i="23"/>
  <c r="Q1042" i="23"/>
  <c r="K908" i="23"/>
  <c r="Q890" i="23"/>
  <c r="G857" i="23"/>
  <c r="G856" i="23" s="1"/>
  <c r="L856" i="23" s="1"/>
  <c r="G834" i="23"/>
  <c r="E821" i="23"/>
  <c r="K978" i="23"/>
  <c r="Q888" i="23"/>
  <c r="L888" i="23"/>
  <c r="K888" i="23"/>
  <c r="Q850" i="23"/>
  <c r="E937" i="23"/>
  <c r="J847" i="23"/>
  <c r="L574" i="23"/>
  <c r="Q574" i="23"/>
  <c r="K909" i="23"/>
  <c r="L854" i="23"/>
  <c r="Q854" i="23"/>
  <c r="G853" i="23"/>
  <c r="K853" i="23" s="1"/>
  <c r="Q835" i="23"/>
  <c r="J790" i="23"/>
  <c r="J789" i="23" s="1"/>
  <c r="I789" i="23"/>
  <c r="L781" i="23"/>
  <c r="Q781" i="23"/>
  <c r="J775" i="23"/>
  <c r="L769" i="23"/>
  <c r="Q769" i="23"/>
  <c r="K763" i="23"/>
  <c r="J757" i="23"/>
  <c r="J755" i="23" s="1"/>
  <c r="I755" i="23"/>
  <c r="K677" i="23"/>
  <c r="Q666" i="23"/>
  <c r="J446" i="23"/>
  <c r="J447" i="23"/>
  <c r="G829" i="23"/>
  <c r="K829" i="23" s="1"/>
  <c r="L688" i="23"/>
  <c r="G687" i="23"/>
  <c r="K541" i="23"/>
  <c r="Q284" i="23"/>
  <c r="L284" i="23"/>
  <c r="G283" i="23"/>
  <c r="L283" i="23" s="1"/>
  <c r="L570" i="23"/>
  <c r="Q570" i="23"/>
  <c r="G260" i="23"/>
  <c r="Q917" i="23"/>
  <c r="J651" i="23"/>
  <c r="E906" i="23"/>
  <c r="K640" i="23"/>
  <c r="Q558" i="23"/>
  <c r="E475" i="23"/>
  <c r="K436" i="23"/>
  <c r="J405" i="23"/>
  <c r="I115" i="23"/>
  <c r="I110" i="23" s="1"/>
  <c r="L385" i="23"/>
  <c r="K385" i="23"/>
  <c r="L376" i="23"/>
  <c r="G85" i="23"/>
  <c r="Q360" i="23"/>
  <c r="L360" i="23"/>
  <c r="K314" i="23"/>
  <c r="E72" i="23"/>
  <c r="K789" i="23"/>
  <c r="L601" i="23"/>
  <c r="Q601" i="23"/>
  <c r="G526" i="23"/>
  <c r="L526" i="23" s="1"/>
  <c r="Q458" i="23"/>
  <c r="E335" i="23"/>
  <c r="F216" i="23"/>
  <c r="Q867" i="23"/>
  <c r="Q685" i="23"/>
  <c r="L566" i="23"/>
  <c r="K566" i="23"/>
  <c r="E420" i="23"/>
  <c r="Q370" i="23"/>
  <c r="J652" i="23"/>
  <c r="J648" i="23" s="1"/>
  <c r="J618" i="23" s="1"/>
  <c r="Q263" i="23"/>
  <c r="K133" i="23"/>
  <c r="E44" i="23"/>
  <c r="J38" i="23"/>
  <c r="J35" i="23"/>
  <c r="K41" i="23"/>
  <c r="G22" i="23"/>
  <c r="K66" i="23"/>
  <c r="Q688" i="23"/>
  <c r="L308" i="23"/>
  <c r="G307" i="23"/>
  <c r="K307" i="23" s="1"/>
  <c r="I308" i="23"/>
  <c r="I307" i="23" s="1"/>
  <c r="I17" i="23"/>
  <c r="I16" i="23" s="1"/>
  <c r="I15" i="23" s="1"/>
  <c r="I401" i="23"/>
  <c r="Q294" i="23"/>
  <c r="Q242" i="23"/>
  <c r="K244" i="23"/>
  <c r="K103" i="23"/>
  <c r="L396" i="23"/>
  <c r="K396" i="23"/>
  <c r="L106" i="23"/>
  <c r="G105" i="23"/>
  <c r="Q396" i="23"/>
  <c r="K106" i="23"/>
  <c r="L721" i="23" l="1"/>
  <c r="Q721" i="23"/>
  <c r="G719" i="23"/>
  <c r="L719" i="23" s="1"/>
  <c r="K721" i="23"/>
  <c r="K324" i="23"/>
  <c r="H143" i="23"/>
  <c r="H142" i="23" s="1"/>
  <c r="H141" i="23" s="1"/>
  <c r="K287" i="23"/>
  <c r="C88" i="1"/>
  <c r="I88" i="1" s="1"/>
  <c r="K88" i="1" s="1"/>
  <c r="K830" i="23"/>
  <c r="L727" i="23"/>
  <c r="Q830" i="23"/>
  <c r="J14" i="23"/>
  <c r="K374" i="23"/>
  <c r="K649" i="23"/>
  <c r="E1001" i="23"/>
  <c r="Q649" i="23"/>
  <c r="K727" i="23"/>
  <c r="K1043" i="23"/>
  <c r="Q287" i="23"/>
  <c r="K88" i="23"/>
  <c r="J33" i="23"/>
  <c r="Q1043" i="23"/>
  <c r="G323" i="23"/>
  <c r="L323" i="23" s="1"/>
  <c r="L324" i="23"/>
  <c r="F81" i="23"/>
  <c r="I82" i="23"/>
  <c r="Q248" i="23"/>
  <c r="K125" i="23"/>
  <c r="L248" i="23"/>
  <c r="Q94" i="23"/>
  <c r="I373" i="23"/>
  <c r="K151" i="23"/>
  <c r="K94" i="23"/>
  <c r="I648" i="23"/>
  <c r="I618" i="23" s="1"/>
  <c r="K73" i="23"/>
  <c r="K165" i="23"/>
  <c r="I132" i="23"/>
  <c r="I131" i="23" s="1"/>
  <c r="H305" i="23"/>
  <c r="Q684" i="23"/>
  <c r="Q744" i="23"/>
  <c r="Q841" i="23"/>
  <c r="F13" i="23"/>
  <c r="Q719" i="23"/>
  <c r="L206" i="23"/>
  <c r="I334" i="23"/>
  <c r="C36" i="1"/>
  <c r="I36" i="1" s="1"/>
  <c r="K36" i="1" s="1"/>
  <c r="K206" i="23"/>
  <c r="G476" i="23"/>
  <c r="Q476" i="23" s="1"/>
  <c r="K767" i="23"/>
  <c r="J412" i="23"/>
  <c r="J411" i="23" s="1"/>
  <c r="I792" i="23"/>
  <c r="I765" i="23" s="1"/>
  <c r="K271" i="23"/>
  <c r="L513" i="23"/>
  <c r="J995" i="23"/>
  <c r="K938" i="23"/>
  <c r="I42" i="23"/>
  <c r="Q187" i="23"/>
  <c r="H708" i="23"/>
  <c r="H707" i="23" s="1"/>
  <c r="J374" i="23"/>
  <c r="J373" i="23" s="1"/>
  <c r="H93" i="23"/>
  <c r="H81" i="23" s="1"/>
  <c r="Q513" i="23"/>
  <c r="Q648" i="23"/>
  <c r="J820" i="23"/>
  <c r="J792" i="23" s="1"/>
  <c r="K187" i="23"/>
  <c r="H13" i="23"/>
  <c r="K252" i="23"/>
  <c r="F143" i="23"/>
  <c r="F142" i="23" s="1"/>
  <c r="F141" i="23" s="1"/>
  <c r="I32" i="23"/>
  <c r="I31" i="23" s="1"/>
  <c r="Q1018" i="23"/>
  <c r="E143" i="23"/>
  <c r="E142" i="23" s="1"/>
  <c r="I14" i="23"/>
  <c r="F905" i="23"/>
  <c r="J975" i="23"/>
  <c r="K744" i="23"/>
  <c r="Q217" i="23"/>
  <c r="J710" i="23"/>
  <c r="J706" i="23" s="1"/>
  <c r="Q231" i="23"/>
  <c r="F304" i="23"/>
  <c r="F302" i="23" s="1"/>
  <c r="Q65" i="23"/>
  <c r="I708" i="23"/>
  <c r="I707" i="23" s="1"/>
  <c r="Q369" i="23"/>
  <c r="Q279" i="23"/>
  <c r="Q204" i="23"/>
  <c r="K204" i="23"/>
  <c r="H906" i="23"/>
  <c r="H901" i="23" s="1"/>
  <c r="I906" i="23"/>
  <c r="I901" i="23" s="1"/>
  <c r="K231" i="23"/>
  <c r="Q903" i="23"/>
  <c r="Q907" i="23"/>
  <c r="L27" i="23"/>
  <c r="K27" i="23"/>
  <c r="G26" i="23"/>
  <c r="G384" i="23"/>
  <c r="K384" i="23" s="1"/>
  <c r="Q336" i="23"/>
  <c r="K910" i="23"/>
  <c r="I975" i="23"/>
  <c r="G373" i="23"/>
  <c r="L373" i="23" s="1"/>
  <c r="Q363" i="23"/>
  <c r="Q271" i="23"/>
  <c r="J89" i="23"/>
  <c r="J88" i="23" s="1"/>
  <c r="J83" i="23" s="1"/>
  <c r="J82" i="23" s="1"/>
  <c r="I171" i="23"/>
  <c r="I143" i="23" s="1"/>
  <c r="I142" i="23" s="1"/>
  <c r="I141" i="23" s="1"/>
  <c r="K636" i="23"/>
  <c r="I384" i="23"/>
  <c r="I372" i="23" s="1"/>
  <c r="J36" i="23"/>
  <c r="Q401" i="23"/>
  <c r="Q576" i="23"/>
  <c r="Q1028" i="23"/>
  <c r="Q243" i="23"/>
  <c r="L336" i="23"/>
  <c r="L374" i="23"/>
  <c r="K267" i="23"/>
  <c r="K450" i="23"/>
  <c r="K217" i="23"/>
  <c r="H710" i="23"/>
  <c r="H706" i="23" s="1"/>
  <c r="Q879" i="23"/>
  <c r="C40" i="1"/>
  <c r="I40" i="1" s="1"/>
  <c r="K40" i="1" s="1"/>
  <c r="L124" i="23"/>
  <c r="I766" i="23"/>
  <c r="Q252" i="23"/>
  <c r="K336" i="23"/>
  <c r="L401" i="23"/>
  <c r="K369" i="23"/>
  <c r="K243" i="23"/>
  <c r="K279" i="23"/>
  <c r="P921" i="23"/>
  <c r="K841" i="23"/>
  <c r="Q267" i="23"/>
  <c r="K879" i="23"/>
  <c r="H372" i="23"/>
  <c r="L318" i="23"/>
  <c r="I318" i="23"/>
  <c r="I306" i="23" s="1"/>
  <c r="Q318" i="23"/>
  <c r="K318" i="23"/>
  <c r="G712" i="23"/>
  <c r="K712" i="23" s="1"/>
  <c r="K719" i="23"/>
  <c r="E619" i="23"/>
  <c r="E618" i="23" s="1"/>
  <c r="K421" i="23"/>
  <c r="L767" i="23"/>
  <c r="L65" i="23"/>
  <c r="G144" i="23"/>
  <c r="I710" i="23"/>
  <c r="I706" i="23" s="1"/>
  <c r="K33" i="23"/>
  <c r="L69" i="23"/>
  <c r="C32" i="1"/>
  <c r="I32" i="1" s="1"/>
  <c r="K32" i="1" s="1"/>
  <c r="K69" i="23"/>
  <c r="L79" i="23"/>
  <c r="G78" i="23"/>
  <c r="K79" i="23"/>
  <c r="K118" i="23"/>
  <c r="K576" i="23"/>
  <c r="C84" i="1"/>
  <c r="I84" i="1" s="1"/>
  <c r="K1018" i="23"/>
  <c r="Q526" i="23"/>
  <c r="J132" i="23"/>
  <c r="J131" i="23" s="1"/>
  <c r="E81" i="23"/>
  <c r="G722" i="23"/>
  <c r="L723" i="23"/>
  <c r="Q723" i="23"/>
  <c r="K723" i="23"/>
  <c r="K283" i="23"/>
  <c r="Q461" i="23"/>
  <c r="K862" i="23"/>
  <c r="L921" i="23"/>
  <c r="J96" i="23"/>
  <c r="J94" i="23" s="1"/>
  <c r="J385" i="23"/>
  <c r="O933" i="23"/>
  <c r="P933" i="23" s="1"/>
  <c r="Q283" i="23"/>
  <c r="K461" i="23"/>
  <c r="Q921" i="23"/>
  <c r="K454" i="23"/>
  <c r="N921" i="23"/>
  <c r="K468" i="23"/>
  <c r="Q295" i="23"/>
  <c r="L201" i="23"/>
  <c r="K201" i="23"/>
  <c r="G200" i="23"/>
  <c r="Q201" i="23"/>
  <c r="L235" i="23"/>
  <c r="Q235" i="23"/>
  <c r="K235" i="23"/>
  <c r="J708" i="23"/>
  <c r="J707" i="23" s="1"/>
  <c r="J831" i="23"/>
  <c r="J827" i="23" s="1"/>
  <c r="K526" i="23"/>
  <c r="K684" i="23"/>
  <c r="K866" i="23"/>
  <c r="L636" i="23"/>
  <c r="J64" i="1"/>
  <c r="J62" i="1" s="1"/>
  <c r="J61" i="1" s="1"/>
  <c r="J50" i="1"/>
  <c r="K50" i="1" s="1"/>
  <c r="Q636" i="23"/>
  <c r="Q910" i="23"/>
  <c r="I93" i="23"/>
  <c r="K735" i="23"/>
  <c r="Q974" i="23"/>
  <c r="K1033" i="23"/>
  <c r="Q310" i="23"/>
  <c r="K291" i="23"/>
  <c r="L117" i="23"/>
  <c r="K117" i="23"/>
  <c r="Q117" i="23"/>
  <c r="Q857" i="23"/>
  <c r="Q735" i="23"/>
  <c r="K904" i="23"/>
  <c r="J39" i="1"/>
  <c r="J38" i="1" s="1"/>
  <c r="J19" i="1" s="1"/>
  <c r="L160" i="23"/>
  <c r="J173" i="23"/>
  <c r="J171" i="23" s="1"/>
  <c r="J143" i="23" s="1"/>
  <c r="J142" i="23" s="1"/>
  <c r="J141" i="23" s="1"/>
  <c r="J421" i="23"/>
  <c r="J420" i="23" s="1"/>
  <c r="J419" i="23" s="1"/>
  <c r="J418" i="23" s="1"/>
  <c r="L928" i="23"/>
  <c r="Q928" i="23"/>
  <c r="J70" i="23"/>
  <c r="J69" i="23" s="1"/>
  <c r="J42" i="23" s="1"/>
  <c r="J360" i="23"/>
  <c r="J334" i="23" s="1"/>
  <c r="L802" i="23"/>
  <c r="Q802" i="23"/>
  <c r="I1001" i="23"/>
  <c r="E474" i="23"/>
  <c r="L687" i="23"/>
  <c r="G683" i="23"/>
  <c r="L683" i="23" s="1"/>
  <c r="L834" i="23"/>
  <c r="G832" i="23"/>
  <c r="Q832" i="23" s="1"/>
  <c r="E905" i="23"/>
  <c r="E901" i="23"/>
  <c r="L1002" i="23"/>
  <c r="C108" i="1"/>
  <c r="E831" i="23"/>
  <c r="L256" i="23"/>
  <c r="K256" i="23"/>
  <c r="Q256" i="23"/>
  <c r="L298" i="23"/>
  <c r="Q298" i="23"/>
  <c r="K298" i="23"/>
  <c r="K687" i="23"/>
  <c r="L709" i="23"/>
  <c r="C82" i="1"/>
  <c r="I82" i="1" s="1"/>
  <c r="K82" i="1" s="1"/>
  <c r="K709" i="23"/>
  <c r="Q709" i="23"/>
  <c r="J115" i="23"/>
  <c r="J110" i="23" s="1"/>
  <c r="J401" i="23"/>
  <c r="K648" i="23"/>
  <c r="L260" i="23"/>
  <c r="Q260" i="23"/>
  <c r="E936" i="23"/>
  <c r="K809" i="23"/>
  <c r="L1007" i="23"/>
  <c r="G1005" i="23"/>
  <c r="Q1007" i="23"/>
  <c r="K1007" i="23"/>
  <c r="L665" i="23"/>
  <c r="G663" i="23"/>
  <c r="L663" i="23" s="1"/>
  <c r="C69" i="1"/>
  <c r="Q834" i="23"/>
  <c r="K857" i="23"/>
  <c r="L939" i="23"/>
  <c r="C94" i="1"/>
  <c r="I94" i="1" s="1"/>
  <c r="K94" i="1" s="1"/>
  <c r="J686" i="23"/>
  <c r="J684" i="23" s="1"/>
  <c r="J688" i="23"/>
  <c r="J687" i="23" s="1"/>
  <c r="J683" i="23" s="1"/>
  <c r="J674" i="23" s="1"/>
  <c r="G420" i="23"/>
  <c r="Q420" i="23" s="1"/>
  <c r="L421" i="23"/>
  <c r="G334" i="23"/>
  <c r="L334" i="23" s="1"/>
  <c r="L335" i="23"/>
  <c r="L29" i="23"/>
  <c r="K29" i="23"/>
  <c r="G36" i="23"/>
  <c r="L39" i="23"/>
  <c r="K39" i="23"/>
  <c r="K363" i="23"/>
  <c r="Q862" i="23"/>
  <c r="G131" i="23"/>
  <c r="K131" i="23" s="1"/>
  <c r="L132" i="23"/>
  <c r="K295" i="23"/>
  <c r="K110" i="23"/>
  <c r="Q291" i="23"/>
  <c r="G449" i="23"/>
  <c r="Q449" i="23" s="1"/>
  <c r="L450" i="23"/>
  <c r="E710" i="23"/>
  <c r="I617" i="23"/>
  <c r="L679" i="23"/>
  <c r="K679" i="23"/>
  <c r="Q679" i="23"/>
  <c r="L693" i="23"/>
  <c r="K693" i="23"/>
  <c r="Q693" i="23"/>
  <c r="F710" i="23"/>
  <c r="F706" i="23" s="1"/>
  <c r="L227" i="23"/>
  <c r="Q227" i="23"/>
  <c r="K227" i="23"/>
  <c r="K260" i="23"/>
  <c r="G828" i="23"/>
  <c r="L828" i="23" s="1"/>
  <c r="L829" i="23"/>
  <c r="C87" i="1"/>
  <c r="C74" i="1"/>
  <c r="I75" i="1"/>
  <c r="L85" i="23"/>
  <c r="Q85" i="23"/>
  <c r="K85" i="23"/>
  <c r="G83" i="23"/>
  <c r="Q1002" i="23"/>
  <c r="L675" i="23"/>
  <c r="K856" i="23"/>
  <c r="Q856" i="23"/>
  <c r="K675" i="23"/>
  <c r="L275" i="23"/>
  <c r="G266" i="23"/>
  <c r="L266" i="23" s="1"/>
  <c r="I78" i="1"/>
  <c r="C77" i="1"/>
  <c r="K731" i="23"/>
  <c r="L904" i="23"/>
  <c r="C91" i="1"/>
  <c r="I91" i="1" s="1"/>
  <c r="K91" i="1" s="1"/>
  <c r="I96" i="1"/>
  <c r="C95" i="1"/>
  <c r="L102" i="23"/>
  <c r="K102" i="23"/>
  <c r="Q44" i="23"/>
  <c r="E43" i="23"/>
  <c r="K44" i="23"/>
  <c r="E419" i="23"/>
  <c r="G306" i="23"/>
  <c r="K306" i="23" s="1"/>
  <c r="L307" i="23"/>
  <c r="L22" i="23"/>
  <c r="C26" i="1"/>
  <c r="K22" i="23"/>
  <c r="G18" i="23"/>
  <c r="L18" i="23" s="1"/>
  <c r="Q22" i="23"/>
  <c r="K335" i="23"/>
  <c r="Q335" i="23"/>
  <c r="E334" i="23"/>
  <c r="E305" i="23" s="1"/>
  <c r="Q468" i="23"/>
  <c r="N854" i="23"/>
  <c r="L853" i="23"/>
  <c r="Q853" i="23"/>
  <c r="E792" i="23"/>
  <c r="E768" i="23"/>
  <c r="K1002" i="23"/>
  <c r="L222" i="23"/>
  <c r="G216" i="23"/>
  <c r="F768" i="23"/>
  <c r="F792" i="23"/>
  <c r="F765" i="23" s="1"/>
  <c r="J830" i="23"/>
  <c r="J828" i="23" s="1"/>
  <c r="I1033" i="23"/>
  <c r="L1033" i="23"/>
  <c r="K310" i="23"/>
  <c r="L239" i="23"/>
  <c r="Q239" i="23"/>
  <c r="K239" i="23"/>
  <c r="J772" i="23"/>
  <c r="L411" i="23"/>
  <c r="Q411" i="23"/>
  <c r="K222" i="23"/>
  <c r="I63" i="1"/>
  <c r="K907" i="23"/>
  <c r="Q307" i="23"/>
  <c r="Q939" i="23"/>
  <c r="G906" i="23"/>
  <c r="Q906" i="23" s="1"/>
  <c r="L910" i="23"/>
  <c r="O930" i="23"/>
  <c r="P930" i="23" s="1"/>
  <c r="P910" i="23"/>
  <c r="G15" i="23"/>
  <c r="C23" i="1"/>
  <c r="I23" i="1" s="1"/>
  <c r="K23" i="1" s="1"/>
  <c r="L16" i="23"/>
  <c r="K16" i="23"/>
  <c r="Q110" i="23"/>
  <c r="K275" i="23"/>
  <c r="J370" i="23"/>
  <c r="J369" i="23" s="1"/>
  <c r="J80" i="23"/>
  <c r="J79" i="23" s="1"/>
  <c r="J78" i="23" s="1"/>
  <c r="Q687" i="23"/>
  <c r="K665" i="23"/>
  <c r="Q866" i="23"/>
  <c r="L975" i="23"/>
  <c r="K975" i="23"/>
  <c r="Q975" i="23"/>
  <c r="L1050" i="23"/>
  <c r="G1040" i="23"/>
  <c r="L1040" i="23" s="1"/>
  <c r="I1005" i="23"/>
  <c r="I1004" i="23" s="1"/>
  <c r="Q1050" i="23"/>
  <c r="E14" i="23"/>
  <c r="G902" i="23"/>
  <c r="L902" i="23" s="1"/>
  <c r="L903" i="23"/>
  <c r="C90" i="1"/>
  <c r="E1000" i="23"/>
  <c r="K411" i="23"/>
  <c r="J649" i="23"/>
  <c r="L809" i="23"/>
  <c r="G821" i="23"/>
  <c r="K821" i="23" s="1"/>
  <c r="G937" i="23"/>
  <c r="C93" i="1"/>
  <c r="Q938" i="23"/>
  <c r="L731" i="23"/>
  <c r="G730" i="23"/>
  <c r="L730" i="23" s="1"/>
  <c r="G708" i="23"/>
  <c r="G72" i="23"/>
  <c r="L73" i="23"/>
  <c r="J104" i="23"/>
  <c r="J102" i="23" s="1"/>
  <c r="J393" i="23"/>
  <c r="H1063" i="23"/>
  <c r="H1062" i="23"/>
  <c r="I112" i="1"/>
  <c r="C110" i="1"/>
  <c r="Q675" i="23"/>
  <c r="K25" i="1"/>
  <c r="Q275" i="23"/>
  <c r="E448" i="23"/>
  <c r="L44" i="23"/>
  <c r="G43" i="23"/>
  <c r="G453" i="23"/>
  <c r="L453" i="23" s="1"/>
  <c r="L454" i="23"/>
  <c r="Q829" i="23"/>
  <c r="L738" i="23"/>
  <c r="Q738" i="23"/>
  <c r="K738" i="23"/>
  <c r="K974" i="23"/>
  <c r="L1028" i="23"/>
  <c r="G1003" i="23"/>
  <c r="Q1003" i="23" s="1"/>
  <c r="E372" i="23"/>
  <c r="L105" i="23"/>
  <c r="G93" i="23"/>
  <c r="Q105" i="23"/>
  <c r="K105" i="23"/>
  <c r="F12" i="23" l="1"/>
  <c r="F11" i="23" s="1"/>
  <c r="Q323" i="23"/>
  <c r="K323" i="23"/>
  <c r="Q216" i="23"/>
  <c r="I81" i="23"/>
  <c r="J32" i="23"/>
  <c r="J31" i="23" s="1"/>
  <c r="J13" i="23" s="1"/>
  <c r="F303" i="23"/>
  <c r="G674" i="23"/>
  <c r="L674" i="23" s="1"/>
  <c r="L384" i="23"/>
  <c r="K476" i="23"/>
  <c r="Q384" i="23"/>
  <c r="K18" i="23"/>
  <c r="H12" i="23"/>
  <c r="H11" i="23" s="1"/>
  <c r="K373" i="23"/>
  <c r="I305" i="23"/>
  <c r="I304" i="23" s="1"/>
  <c r="I303" i="23" s="1"/>
  <c r="G372" i="23"/>
  <c r="L372" i="23" s="1"/>
  <c r="Q373" i="23"/>
  <c r="H705" i="23"/>
  <c r="H614" i="23" s="1"/>
  <c r="H304" i="23"/>
  <c r="H303" i="23" s="1"/>
  <c r="F10" i="23"/>
  <c r="G475" i="23"/>
  <c r="K475" i="23" s="1"/>
  <c r="I13" i="23"/>
  <c r="L476" i="23"/>
  <c r="K449" i="23"/>
  <c r="K828" i="23"/>
  <c r="J767" i="23"/>
  <c r="Q828" i="23"/>
  <c r="K663" i="23"/>
  <c r="Q18" i="23"/>
  <c r="J765" i="23"/>
  <c r="J705" i="23" s="1"/>
  <c r="J614" i="23" s="1"/>
  <c r="H616" i="23"/>
  <c r="Q712" i="23"/>
  <c r="I616" i="23"/>
  <c r="K26" i="23"/>
  <c r="C27" i="1"/>
  <c r="I27" i="1" s="1"/>
  <c r="K27" i="1" s="1"/>
  <c r="L26" i="23"/>
  <c r="J384" i="23"/>
  <c r="J372" i="23" s="1"/>
  <c r="L712" i="23"/>
  <c r="G711" i="23"/>
  <c r="K711" i="23" s="1"/>
  <c r="K78" i="23"/>
  <c r="L78" i="23"/>
  <c r="C34" i="1"/>
  <c r="I34" i="1" s="1"/>
  <c r="K34" i="1" s="1"/>
  <c r="I705" i="23"/>
  <c r="L722" i="23"/>
  <c r="Q722" i="23"/>
  <c r="K722" i="23"/>
  <c r="J93" i="23"/>
  <c r="J81" i="23" s="1"/>
  <c r="K420" i="23"/>
  <c r="L200" i="23"/>
  <c r="Q200" i="23"/>
  <c r="K200" i="23"/>
  <c r="G171" i="23"/>
  <c r="G143" i="23" s="1"/>
  <c r="K143" i="23" s="1"/>
  <c r="Q663" i="23"/>
  <c r="K683" i="23"/>
  <c r="J305" i="23"/>
  <c r="Q453" i="23"/>
  <c r="Q683" i="23"/>
  <c r="Q821" i="23"/>
  <c r="Q902" i="23"/>
  <c r="Q629" i="23"/>
  <c r="G621" i="23"/>
  <c r="C64" i="1"/>
  <c r="L629" i="23"/>
  <c r="K902" i="23"/>
  <c r="K629" i="23"/>
  <c r="K112" i="1"/>
  <c r="K110" i="1" s="1"/>
  <c r="I110" i="1"/>
  <c r="M10" i="23"/>
  <c r="L72" i="23"/>
  <c r="C33" i="1"/>
  <c r="I33" i="1" s="1"/>
  <c r="K33" i="1" s="1"/>
  <c r="L937" i="23"/>
  <c r="G936" i="23"/>
  <c r="L936" i="23" s="1"/>
  <c r="L216" i="23"/>
  <c r="C41" i="1"/>
  <c r="I41" i="1" s="1"/>
  <c r="K41" i="1" s="1"/>
  <c r="Q72" i="23"/>
  <c r="I95" i="1"/>
  <c r="K96" i="1"/>
  <c r="K95" i="1" s="1"/>
  <c r="K1003" i="23"/>
  <c r="I87" i="1"/>
  <c r="C86" i="1"/>
  <c r="I1062" i="23"/>
  <c r="I1063" i="23"/>
  <c r="G1001" i="23"/>
  <c r="G831" i="23"/>
  <c r="Q831" i="23" s="1"/>
  <c r="L832" i="23"/>
  <c r="J49" i="1"/>
  <c r="L9" i="23"/>
  <c r="E447" i="23"/>
  <c r="H1061" i="23"/>
  <c r="G707" i="23"/>
  <c r="L708" i="23"/>
  <c r="C81" i="1"/>
  <c r="G616" i="23"/>
  <c r="Q708" i="23"/>
  <c r="K708" i="23"/>
  <c r="K453" i="23"/>
  <c r="L821" i="23"/>
  <c r="G792" i="23"/>
  <c r="Q792" i="23" s="1"/>
  <c r="G768" i="23"/>
  <c r="K768" i="23" s="1"/>
  <c r="J617" i="23"/>
  <c r="K216" i="23"/>
  <c r="G14" i="23"/>
  <c r="L15" i="23"/>
  <c r="C22" i="1"/>
  <c r="K15" i="23"/>
  <c r="G905" i="23"/>
  <c r="L905" i="23" s="1"/>
  <c r="G901" i="23"/>
  <c r="L901" i="23" s="1"/>
  <c r="L906" i="23"/>
  <c r="K63" i="1"/>
  <c r="F1060" i="23"/>
  <c r="F1059" i="23"/>
  <c r="E765" i="23"/>
  <c r="K334" i="23"/>
  <c r="Q334" i="23"/>
  <c r="K72" i="23"/>
  <c r="I77" i="1"/>
  <c r="K78" i="1"/>
  <c r="K77" i="1" s="1"/>
  <c r="F705" i="23"/>
  <c r="F614" i="23" s="1"/>
  <c r="E706" i="23"/>
  <c r="G448" i="23"/>
  <c r="Q448" i="23" s="1"/>
  <c r="L449" i="23"/>
  <c r="K937" i="23"/>
  <c r="K832" i="23"/>
  <c r="E995" i="23"/>
  <c r="G305" i="23"/>
  <c r="L305" i="23" s="1"/>
  <c r="L306" i="23"/>
  <c r="E418" i="23"/>
  <c r="Q43" i="23"/>
  <c r="E42" i="23"/>
  <c r="E13" i="23" s="1"/>
  <c r="K43" i="23"/>
  <c r="L83" i="23"/>
  <c r="G82" i="23"/>
  <c r="G81" i="23" s="1"/>
  <c r="K83" i="23"/>
  <c r="Q83" i="23"/>
  <c r="I74" i="1"/>
  <c r="K75" i="1"/>
  <c r="K74" i="1" s="1"/>
  <c r="K730" i="23"/>
  <c r="Q266" i="23"/>
  <c r="Q306" i="23"/>
  <c r="G419" i="23"/>
  <c r="Q419" i="23" s="1"/>
  <c r="L420" i="23"/>
  <c r="Q1040" i="23"/>
  <c r="G1004" i="23"/>
  <c r="L1005" i="23"/>
  <c r="Q1005" i="23"/>
  <c r="K1005" i="23"/>
  <c r="I108" i="1"/>
  <c r="K84" i="1"/>
  <c r="K906" i="23"/>
  <c r="E473" i="23"/>
  <c r="E446" i="23" s="1"/>
  <c r="L1003" i="23"/>
  <c r="C109" i="1"/>
  <c r="I109" i="1" s="1"/>
  <c r="K109" i="1" s="1"/>
  <c r="G42" i="23"/>
  <c r="L42" i="23" s="1"/>
  <c r="L43" i="23"/>
  <c r="C30" i="1"/>
  <c r="C92" i="1"/>
  <c r="I93" i="1"/>
  <c r="C89" i="1"/>
  <c r="I90" i="1"/>
  <c r="I1000" i="23"/>
  <c r="I995" i="23" s="1"/>
  <c r="F617" i="23"/>
  <c r="F766" i="23"/>
  <c r="E766" i="23"/>
  <c r="E617" i="23"/>
  <c r="I26" i="1"/>
  <c r="C24" i="1"/>
  <c r="Q730" i="23"/>
  <c r="K266" i="23"/>
  <c r="E304" i="23"/>
  <c r="C37" i="1"/>
  <c r="I37" i="1" s="1"/>
  <c r="K37" i="1" s="1"/>
  <c r="L131" i="23"/>
  <c r="G32" i="23"/>
  <c r="L36" i="23"/>
  <c r="K36" i="23"/>
  <c r="I69" i="1"/>
  <c r="C68" i="1"/>
  <c r="K1040" i="23"/>
  <c r="Q937" i="23"/>
  <c r="E827" i="23"/>
  <c r="E141" i="23"/>
  <c r="L93" i="23"/>
  <c r="Q93" i="23"/>
  <c r="K93" i="23"/>
  <c r="I12" i="23" l="1"/>
  <c r="I10" i="23" s="1"/>
  <c r="Q674" i="23"/>
  <c r="L212" i="23"/>
  <c r="Q212" i="23"/>
  <c r="K212" i="23"/>
  <c r="K674" i="23"/>
  <c r="H302" i="23"/>
  <c r="H1060" i="23" s="1"/>
  <c r="F1057" i="23"/>
  <c r="Q372" i="23"/>
  <c r="K372" i="23"/>
  <c r="H10" i="23"/>
  <c r="H1057" i="23" s="1"/>
  <c r="K831" i="23"/>
  <c r="G474" i="23"/>
  <c r="Q474" i="23" s="1"/>
  <c r="Q475" i="23"/>
  <c r="L475" i="23"/>
  <c r="L143" i="23"/>
  <c r="Q768" i="23"/>
  <c r="L711" i="23"/>
  <c r="I302" i="23"/>
  <c r="I1060" i="23" s="1"/>
  <c r="Q305" i="23"/>
  <c r="J766" i="23"/>
  <c r="J616" i="23"/>
  <c r="C39" i="1"/>
  <c r="I39" i="1" s="1"/>
  <c r="J304" i="23"/>
  <c r="J302" i="23" s="1"/>
  <c r="J12" i="23"/>
  <c r="J11" i="23" s="1"/>
  <c r="M711" i="23"/>
  <c r="M719" i="23" s="1"/>
  <c r="G710" i="23"/>
  <c r="K710" i="23" s="1"/>
  <c r="I614" i="23"/>
  <c r="I1057" i="23" s="1"/>
  <c r="G142" i="23"/>
  <c r="K142" i="23" s="1"/>
  <c r="Q711" i="23"/>
  <c r="Q936" i="23"/>
  <c r="F1056" i="23"/>
  <c r="K448" i="23"/>
  <c r="K936" i="23"/>
  <c r="Q143" i="23"/>
  <c r="K792" i="23"/>
  <c r="K905" i="23"/>
  <c r="I64" i="1"/>
  <c r="C62" i="1"/>
  <c r="Q621" i="23"/>
  <c r="L621" i="23"/>
  <c r="G620" i="23"/>
  <c r="K621" i="23"/>
  <c r="E1063" i="23"/>
  <c r="E1062" i="23"/>
  <c r="C107" i="1"/>
  <c r="L82" i="23"/>
  <c r="Q82" i="23"/>
  <c r="K82" i="23"/>
  <c r="K42" i="23"/>
  <c r="Q42" i="23"/>
  <c r="L448" i="23"/>
  <c r="G447" i="23"/>
  <c r="L447" i="23" s="1"/>
  <c r="J1063" i="23"/>
  <c r="J1062" i="23"/>
  <c r="I81" i="1"/>
  <c r="C80" i="1"/>
  <c r="L831" i="23"/>
  <c r="G827" i="23"/>
  <c r="K827" i="23" s="1"/>
  <c r="E303" i="23"/>
  <c r="E302" i="23"/>
  <c r="F1063" i="23"/>
  <c r="F1062" i="23"/>
  <c r="K90" i="1"/>
  <c r="K89" i="1" s="1"/>
  <c r="I89" i="1"/>
  <c r="I30" i="1"/>
  <c r="C29" i="1"/>
  <c r="L1004" i="23"/>
  <c r="G1000" i="23"/>
  <c r="K1004" i="23"/>
  <c r="Q1004" i="23"/>
  <c r="L14" i="23"/>
  <c r="L616" i="23"/>
  <c r="Q616" i="23"/>
  <c r="K616" i="23"/>
  <c r="L1001" i="23"/>
  <c r="Q1001" i="23"/>
  <c r="K1001" i="23"/>
  <c r="I86" i="1"/>
  <c r="K87" i="1"/>
  <c r="K86" i="1" s="1"/>
  <c r="G31" i="23"/>
  <c r="L32" i="23"/>
  <c r="K32" i="23"/>
  <c r="Q14" i="23"/>
  <c r="G304" i="23"/>
  <c r="K304" i="23" s="1"/>
  <c r="I68" i="1"/>
  <c r="K69" i="1"/>
  <c r="K68" i="1" s="1"/>
  <c r="K305" i="23"/>
  <c r="K26" i="1"/>
  <c r="K24" i="1" s="1"/>
  <c r="I24" i="1"/>
  <c r="K14" i="23"/>
  <c r="I92" i="1"/>
  <c r="K93" i="1"/>
  <c r="K92" i="1" s="1"/>
  <c r="K108" i="1"/>
  <c r="K107" i="1" s="1"/>
  <c r="I107" i="1"/>
  <c r="E705" i="23"/>
  <c r="F1058" i="23"/>
  <c r="I22" i="1"/>
  <c r="L768" i="23"/>
  <c r="C85" i="1"/>
  <c r="G766" i="23"/>
  <c r="L766" i="23" s="1"/>
  <c r="G617" i="23"/>
  <c r="L617" i="23" s="1"/>
  <c r="K901" i="23"/>
  <c r="I1061" i="23"/>
  <c r="E12" i="23"/>
  <c r="L419" i="23"/>
  <c r="G418" i="23"/>
  <c r="L418" i="23" s="1"/>
  <c r="J303" i="23"/>
  <c r="K419" i="23"/>
  <c r="Q905" i="23"/>
  <c r="L792" i="23"/>
  <c r="G765" i="23"/>
  <c r="L765" i="23" s="1"/>
  <c r="L707" i="23"/>
  <c r="K707" i="23"/>
  <c r="Q707" i="23"/>
  <c r="J43" i="1"/>
  <c r="J42" i="1" s="1"/>
  <c r="J60" i="1" s="1"/>
  <c r="K49" i="1"/>
  <c r="K43" i="1" s="1"/>
  <c r="K42" i="1" s="1"/>
  <c r="Q901" i="23"/>
  <c r="L81" i="23"/>
  <c r="C35" i="1"/>
  <c r="Q81" i="23"/>
  <c r="K81" i="23"/>
  <c r="E1061" i="23" l="1"/>
  <c r="I11" i="23"/>
  <c r="K474" i="23"/>
  <c r="F1055" i="23"/>
  <c r="L1071" i="23" s="1"/>
  <c r="H1059" i="23"/>
  <c r="H1058" i="23" s="1"/>
  <c r="I1059" i="23"/>
  <c r="I1058" i="23" s="1"/>
  <c r="H1056" i="23"/>
  <c r="H1055" i="23" s="1"/>
  <c r="L474" i="23"/>
  <c r="G473" i="23"/>
  <c r="L473" i="23" s="1"/>
  <c r="L142" i="23"/>
  <c r="Q827" i="23"/>
  <c r="J10" i="23"/>
  <c r="C38" i="1"/>
  <c r="G141" i="23"/>
  <c r="Q141" i="23" s="1"/>
  <c r="Q447" i="23"/>
  <c r="I1056" i="23"/>
  <c r="I1055" i="23" s="1"/>
  <c r="Q142" i="23"/>
  <c r="L710" i="23"/>
  <c r="Q710" i="23"/>
  <c r="K447" i="23"/>
  <c r="G706" i="23"/>
  <c r="Q706" i="23" s="1"/>
  <c r="L304" i="23"/>
  <c r="Q617" i="23"/>
  <c r="Q620" i="23"/>
  <c r="K620" i="23"/>
  <c r="G619" i="23"/>
  <c r="L620" i="23"/>
  <c r="J1061" i="23"/>
  <c r="Q418" i="23"/>
  <c r="K64" i="1"/>
  <c r="K62" i="1" s="1"/>
  <c r="I62" i="1"/>
  <c r="J1060" i="23"/>
  <c r="J1059" i="23"/>
  <c r="K81" i="1"/>
  <c r="K80" i="1" s="1"/>
  <c r="I80" i="1"/>
  <c r="F1061" i="23"/>
  <c r="G302" i="23"/>
  <c r="K302" i="23" s="1"/>
  <c r="E10" i="23"/>
  <c r="L4" i="23" s="1"/>
  <c r="E11" i="23"/>
  <c r="K39" i="1"/>
  <c r="K38" i="1" s="1"/>
  <c r="I38" i="1"/>
  <c r="K22" i="1"/>
  <c r="E614" i="23"/>
  <c r="K766" i="23"/>
  <c r="C28" i="1"/>
  <c r="L31" i="23"/>
  <c r="K31" i="23"/>
  <c r="Q765" i="23"/>
  <c r="L1000" i="23"/>
  <c r="G995" i="23"/>
  <c r="Q1000" i="23"/>
  <c r="K1000" i="23"/>
  <c r="K30" i="1"/>
  <c r="K29" i="1" s="1"/>
  <c r="I29" i="1"/>
  <c r="Q304" i="23"/>
  <c r="G303" i="23"/>
  <c r="K303" i="23" s="1"/>
  <c r="K617" i="23"/>
  <c r="I85" i="1"/>
  <c r="C83" i="1"/>
  <c r="C61" i="1" s="1"/>
  <c r="Q766" i="23"/>
  <c r="G13" i="23"/>
  <c r="K765" i="23"/>
  <c r="E1059" i="23"/>
  <c r="E1060" i="23"/>
  <c r="M827" i="23"/>
  <c r="L827" i="23"/>
  <c r="K418" i="23"/>
  <c r="I35" i="1"/>
  <c r="L1064" i="23" l="1"/>
  <c r="L1066" i="23" s="1"/>
  <c r="G446" i="23"/>
  <c r="G1062" i="23" s="1"/>
  <c r="G705" i="23"/>
  <c r="Q705" i="23" s="1"/>
  <c r="K473" i="23"/>
  <c r="Q473" i="23"/>
  <c r="L303" i="23"/>
  <c r="J1057" i="23"/>
  <c r="J1056" i="23"/>
  <c r="J1055" i="23" s="1"/>
  <c r="L141" i="23"/>
  <c r="K141" i="23"/>
  <c r="L706" i="23"/>
  <c r="K706" i="23"/>
  <c r="N706" i="23"/>
  <c r="J1058" i="23"/>
  <c r="Q303" i="23"/>
  <c r="G1060" i="23"/>
  <c r="Q1060" i="23" s="1"/>
  <c r="G1059" i="23"/>
  <c r="L619" i="23"/>
  <c r="G618" i="23"/>
  <c r="K619" i="23"/>
  <c r="Q619" i="23"/>
  <c r="L995" i="23"/>
  <c r="Q995" i="23"/>
  <c r="K995" i="23"/>
  <c r="Q302" i="23"/>
  <c r="L302" i="23"/>
  <c r="E1058" i="23"/>
  <c r="L1058" i="23" s="1"/>
  <c r="L1059" i="23"/>
  <c r="L13" i="23"/>
  <c r="K13" i="23"/>
  <c r="G12" i="23"/>
  <c r="Q13" i="23"/>
  <c r="E1056" i="23"/>
  <c r="E1057" i="23"/>
  <c r="I28" i="1"/>
  <c r="C21" i="1"/>
  <c r="C20" i="1" s="1"/>
  <c r="C19" i="1" s="1"/>
  <c r="N60" i="1" s="1"/>
  <c r="K85" i="1"/>
  <c r="K83" i="1" s="1"/>
  <c r="K61" i="1" s="1"/>
  <c r="I83" i="1"/>
  <c r="I61" i="1" s="1"/>
  <c r="K35" i="1"/>
  <c r="L705" i="23" l="1"/>
  <c r="K705" i="23"/>
  <c r="G614" i="23"/>
  <c r="L614" i="23" s="1"/>
  <c r="L1060" i="23"/>
  <c r="L446" i="23"/>
  <c r="M446" i="23"/>
  <c r="K446" i="23"/>
  <c r="G1063" i="23"/>
  <c r="K1063" i="23" s="1"/>
  <c r="Q446" i="23"/>
  <c r="K1060" i="23"/>
  <c r="G1058" i="23"/>
  <c r="Q1058" i="23" s="1"/>
  <c r="K1059" i="23"/>
  <c r="Q1059" i="23"/>
  <c r="E1055" i="23"/>
  <c r="L1075" i="23" s="1"/>
  <c r="K618" i="23"/>
  <c r="L618" i="23"/>
  <c r="Q618" i="23"/>
  <c r="K28" i="1"/>
  <c r="K21" i="1" s="1"/>
  <c r="K20" i="1" s="1"/>
  <c r="K19" i="1" s="1"/>
  <c r="K60" i="1" s="1"/>
  <c r="I21" i="1"/>
  <c r="I20" i="1" s="1"/>
  <c r="I19" i="1" s="1"/>
  <c r="I60" i="1" s="1"/>
  <c r="G11" i="23"/>
  <c r="K12" i="23"/>
  <c r="L12" i="23"/>
  <c r="G10" i="23"/>
  <c r="Q12" i="23"/>
  <c r="K1062" i="23"/>
  <c r="L1062" i="23"/>
  <c r="Q1062" i="23"/>
  <c r="K614" i="23" l="1"/>
  <c r="Q614" i="23"/>
  <c r="L1063" i="23"/>
  <c r="Q1063" i="23"/>
  <c r="G1061" i="23"/>
  <c r="K1061" i="23" s="1"/>
  <c r="K1058" i="23"/>
  <c r="L10" i="23"/>
  <c r="G1056" i="23"/>
  <c r="L8" i="23"/>
  <c r="K10" i="23"/>
  <c r="Q10" i="23"/>
  <c r="N8" i="23"/>
  <c r="G1057" i="23"/>
  <c r="L11" i="23"/>
  <c r="M11" i="23"/>
  <c r="M12" i="23" s="1"/>
  <c r="Q11" i="23"/>
  <c r="K11" i="23"/>
  <c r="L1061" i="23" l="1"/>
  <c r="Q1061" i="23"/>
  <c r="K1057" i="23"/>
  <c r="Q1057" i="23"/>
  <c r="L1057" i="23"/>
  <c r="G1055" i="23"/>
  <c r="L1056" i="23"/>
  <c r="Q1056" i="23"/>
  <c r="K1056" i="23"/>
  <c r="L1055" i="23" l="1"/>
  <c r="Q1055" i="23"/>
  <c r="K1055"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Eva Vaida</author>
    <author/>
    <author>Vaida Eva</author>
  </authors>
  <commentList>
    <comment ref="J30" authorId="0" shapeId="0" xr:uid="{00000000-0006-0000-0000-000001000000}">
      <text>
        <r>
          <rPr>
            <b/>
            <sz val="9"/>
            <rFont val="Tahoma"/>
            <family val="2"/>
          </rPr>
          <t>Eva Vaida:</t>
        </r>
        <r>
          <rPr>
            <sz val="9"/>
            <rFont val="Tahoma"/>
            <family val="2"/>
          </rPr>
          <t xml:space="preserve">
transferuri din TVA descentralizate + transferuri din TVA echilibrare catre subordonati - pt acoperirea deficitului</t>
        </r>
      </text>
    </comment>
    <comment ref="J39" authorId="1" shapeId="0" xr:uid="{00000000-0006-0000-0000-000002000000}">
      <text>
        <r>
          <rPr>
            <sz val="10"/>
            <color rgb="FF000000"/>
            <rFont val="Arial"/>
            <family val="2"/>
          </rPr>
          <t>======
ID#AAAAQ6QDW-4
Vaida Eva    (2021-10-15 08:01:32)
subventii spitale BS</t>
        </r>
      </text>
    </comment>
    <comment ref="J49" authorId="1" shapeId="0" xr:uid="{00000000-0006-0000-0000-000003000000}">
      <text>
        <r>
          <rPr>
            <sz val="10"/>
            <color rgb="FF000000"/>
            <rFont val="Arial"/>
            <family val="2"/>
          </rPr>
          <t>======
ID#AAAAQ6QDW_k
Consiliul Judetean    (2021-10-15 08:01:32)
minus 600 SJU subv municipiu</t>
        </r>
      </text>
    </comment>
    <comment ref="A51" authorId="2" shapeId="0" xr:uid="{00000000-0006-0000-0000-000004000000}">
      <text>
        <r>
          <rPr>
            <b/>
            <sz val="9"/>
            <rFont val="Tahoma"/>
            <family val="2"/>
          </rPr>
          <t>Vaida Eva:</t>
        </r>
        <r>
          <rPr>
            <sz val="9"/>
            <rFont val="Tahoma"/>
            <family val="2"/>
          </rPr>
          <t xml:space="preserve">
56+58+60</t>
        </r>
      </text>
    </comment>
    <comment ref="J85" authorId="1" shapeId="0" xr:uid="{00000000-0006-0000-0000-000005000000}">
      <text>
        <r>
          <rPr>
            <sz val="10"/>
            <color rgb="FF000000"/>
            <rFont val="Arial"/>
            <family val="2"/>
          </rPr>
          <t>======
ID#AAAAQ6QDW_0
Consiliul Judetean    (2021-10-15 08:01:32)
minus  SJU subv municipiu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Eva Vaida</author>
    <author>Vaida Eva</author>
    <author/>
  </authors>
  <commentList>
    <comment ref="B357" authorId="0" shapeId="0" xr:uid="{00000000-0006-0000-0100-000001000000}">
      <text>
        <r>
          <rPr>
            <b/>
            <sz val="9"/>
            <rFont val="Tahoma"/>
            <family val="2"/>
          </rPr>
          <t>Eva Vaida:</t>
        </r>
        <r>
          <rPr>
            <sz val="9"/>
            <rFont val="Tahoma"/>
            <family val="2"/>
          </rPr>
          <t xml:space="preserve">
sunt si sume defalcate du destinatie speciala - spitale</t>
        </r>
      </text>
    </comment>
    <comment ref="B628" authorId="1" shapeId="0" xr:uid="{00000000-0006-0000-0100-000002000000}">
      <text>
        <r>
          <rPr>
            <sz val="9"/>
            <rFont val="Tahoma"/>
            <family val="2"/>
          </rPr>
          <t xml:space="preserve">
</t>
        </r>
      </text>
    </comment>
    <comment ref="F638" authorId="0" shapeId="0" xr:uid="{00000000-0006-0000-0100-000003000000}">
      <text>
        <r>
          <rPr>
            <b/>
            <sz val="9"/>
            <rFont val="Tahoma"/>
            <family val="2"/>
          </rPr>
          <t>Eva Vaida:</t>
        </r>
        <r>
          <rPr>
            <sz val="9"/>
            <rFont val="Tahoma"/>
            <family val="2"/>
          </rPr>
          <t xml:space="preserve">
inclusiv diferenta din 2023</t>
        </r>
      </text>
    </comment>
    <comment ref="C796" authorId="1" shapeId="0" xr:uid="{00000000-0006-0000-0100-000004000000}">
      <text>
        <r>
          <rPr>
            <sz val="9"/>
            <rFont val="Tahoma"/>
            <family val="2"/>
          </rPr>
          <t xml:space="preserve">
</t>
        </r>
      </text>
    </comment>
    <comment ref="A853" authorId="2" shapeId="0" xr:uid="{00000000-0006-0000-0100-000005000000}">
      <text>
        <r>
          <rPr>
            <sz val="10"/>
            <color rgb="FF000000"/>
            <rFont val="Arial"/>
            <family val="2"/>
          </rPr>
          <t>======
ID#AAAAQ6QDW_g
User 01    (2021-10-15 08:01:32)
ascunsi</t>
        </r>
      </text>
    </comment>
    <comment ref="L1058" authorId="2" shapeId="0" xr:uid="{00000000-0006-0000-0100-000006000000}">
      <text>
        <r>
          <rPr>
            <sz val="10"/>
            <color rgb="FF000000"/>
            <rFont val="Arial"/>
            <family val="2"/>
          </rPr>
          <t>======
ID#AAAAQ6QDW_A
Vaida Eva    (2021-10-15 08:01:32)
!!!! formula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E39" authorId="0" shapeId="0" xr:uid="{00000000-0006-0000-0200-000002000000}">
      <text>
        <r>
          <rPr>
            <sz val="10"/>
            <color rgb="FF000000"/>
            <rFont val="Arial"/>
            <family val="2"/>
          </rPr>
          <t>======
ID#AAAAQ6QDW-w
aivvie    (2021-10-15 08:01:32)
-67,5 - centru
-139 MOf</t>
        </r>
      </text>
    </comment>
    <comment ref="F39" authorId="0" shapeId="0" xr:uid="{00000000-0006-0000-0200-000003000000}">
      <text>
        <r>
          <rPr>
            <sz val="10"/>
            <color rgb="FF000000"/>
            <rFont val="Arial"/>
            <family val="2"/>
          </rPr>
          <t>======
ID#AAAAQ6QDW_o
aivvie    (2021-10-15 08:01:32)
-67,5 - centru
-139 MOf</t>
        </r>
      </text>
    </comment>
    <comment ref="G39" authorId="0" shapeId="0" xr:uid="{00000000-0006-0000-0200-000004000000}">
      <text>
        <r>
          <rPr>
            <sz val="10"/>
            <color rgb="FF000000"/>
            <rFont val="Arial"/>
            <family val="2"/>
          </rPr>
          <t>======
ID#AAAAQ6QDW_c
aivvie    (2021-10-15 08:01:32)
-67,5 - centru
-139 MOf</t>
        </r>
      </text>
    </comment>
    <comment ref="H39" authorId="0" shapeId="0" xr:uid="{00000000-0006-0000-0200-000005000000}">
      <text>
        <r>
          <rPr>
            <sz val="10"/>
            <color rgb="FF000000"/>
            <rFont val="Arial"/>
            <family val="2"/>
          </rPr>
          <t>======
ID#AAAAQ6QDW_Q
aivvie    (2021-10-15 08:01:32)
-67,5 - centru
-139 MOf</t>
        </r>
      </text>
    </comment>
    <comment ref="I39" authorId="0" shapeId="0" xr:uid="{00000000-0006-0000-0200-000006000000}">
      <text>
        <r>
          <rPr>
            <sz val="10"/>
            <color rgb="FF000000"/>
            <rFont val="Arial"/>
            <family val="2"/>
          </rPr>
          <t>======
ID#AAAAQ6QDXAA
aivvie    (2021-10-15 08:01:32)
-67,5 - centru
-139 MOf</t>
        </r>
      </text>
    </comment>
    <comment ref="E44" authorId="0" shapeId="0" xr:uid="{00000000-0006-0000-0200-000007000000}">
      <text>
        <r>
          <rPr>
            <sz val="10"/>
            <color rgb="FF000000"/>
            <rFont val="Arial"/>
            <family val="2"/>
          </rPr>
          <t>======
ID#AAAAQ6QDW_w
aivvie    (2021-10-15 08:01:32)
-106 MOf</t>
        </r>
      </text>
    </comment>
    <comment ref="E45" authorId="0" shapeId="0" xr:uid="{00000000-0006-0000-0200-000008000000}">
      <text>
        <r>
          <rPr>
            <sz val="10"/>
            <color rgb="FF000000"/>
            <rFont val="Arial"/>
            <family val="2"/>
          </rPr>
          <t>======
ID#AAAAQ6QDW_8
aivvie    (2021-10-15 08:01:32)
mof -33
centru - 67,5</t>
        </r>
      </text>
    </comment>
    <comment ref="N54" authorId="0" shapeId="0" xr:uid="{00000000-0006-0000-0200-000009000000}">
      <text>
        <r>
          <rPr>
            <sz val="10"/>
            <color rgb="FF000000"/>
            <rFont val="Arial"/>
            <family val="2"/>
          </rPr>
          <t>======
ID#AAAAQ6QDW-8
Vaida Eva    (2021-10-15 08:01:32)
-365</t>
        </r>
      </text>
    </comment>
  </commentList>
</comments>
</file>

<file path=xl/sharedStrings.xml><?xml version="1.0" encoding="utf-8"?>
<sst xmlns="http://schemas.openxmlformats.org/spreadsheetml/2006/main" count="2253" uniqueCount="1006">
  <si>
    <t>ROMÂNIA</t>
  </si>
  <si>
    <t>Anexa nr. I</t>
  </si>
  <si>
    <t>proiect</t>
  </si>
  <si>
    <t>JUDETUL SATU MARE</t>
  </si>
  <si>
    <t>CONSILIUL JUDEŢEAN SATU MARE</t>
  </si>
  <si>
    <t>BUGETUL GENERAL AL UNITĂŢII ADMINISTRATIV-TERITORIALE</t>
  </si>
  <si>
    <t xml:space="preserve">  - mii lei -</t>
  </si>
  <si>
    <t>Cod                  rând</t>
  </si>
  <si>
    <t xml:space="preserve">Bugetul             local </t>
  </si>
  <si>
    <t>Bugetul instituţiilor publice finanţate din venituri proprii si subventii din bugetul local</t>
  </si>
  <si>
    <t>Bugetul instituţiilor publice finanţate integral din venituri proprii</t>
  </si>
  <si>
    <t>Bugetul fondurilor externe nerambursabile</t>
  </si>
  <si>
    <t>Total</t>
  </si>
  <si>
    <t>Transferuri între bugete**)    (se scad)</t>
  </si>
  <si>
    <t>Total                     buget          general</t>
  </si>
  <si>
    <t>Bugetul împrumuturilor</t>
  </si>
  <si>
    <t>externe</t>
  </si>
  <si>
    <t>interne</t>
  </si>
  <si>
    <t>A</t>
  </si>
  <si>
    <t>0</t>
  </si>
  <si>
    <t>7=1+2+3+4+5+6</t>
  </si>
  <si>
    <t>9=7-8</t>
  </si>
  <si>
    <r>
      <rPr>
        <b/>
        <sz val="9"/>
        <color theme="1"/>
        <rFont val="Arial"/>
        <family val="2"/>
      </rPr>
      <t xml:space="preserve">VENITURI  TOTAL  </t>
    </r>
    <r>
      <rPr>
        <b/>
        <sz val="8"/>
        <color theme="1"/>
        <rFont val="Arial"/>
        <family val="2"/>
      </rPr>
      <t xml:space="preserve">(rd.02+18+19+20+23)     </t>
    </r>
    <r>
      <rPr>
        <b/>
        <sz val="9"/>
        <color theme="1"/>
        <rFont val="Arial"/>
        <family val="2"/>
      </rPr>
      <t xml:space="preserve">            </t>
    </r>
  </si>
  <si>
    <t>01</t>
  </si>
  <si>
    <r>
      <rPr>
        <sz val="9"/>
        <color theme="1"/>
        <rFont val="Arial"/>
        <family val="2"/>
      </rPr>
      <t xml:space="preserve">Venituri curente   </t>
    </r>
    <r>
      <rPr>
        <sz val="8"/>
        <color theme="1"/>
        <rFont val="Arial"/>
        <family val="2"/>
      </rPr>
      <t xml:space="preserve">(rd.03+17)  </t>
    </r>
    <r>
      <rPr>
        <sz val="9"/>
        <color theme="1"/>
        <rFont val="Arial"/>
        <family val="2"/>
      </rPr>
      <t xml:space="preserve">                     </t>
    </r>
  </si>
  <si>
    <t>02</t>
  </si>
  <si>
    <r>
      <rPr>
        <sz val="9"/>
        <color theme="1"/>
        <rFont val="Arial"/>
        <family val="2"/>
      </rPr>
      <t xml:space="preserve">Venituri fiscale  </t>
    </r>
    <r>
      <rPr>
        <sz val="8"/>
        <color theme="1"/>
        <rFont val="Arial"/>
        <family val="2"/>
      </rPr>
      <t>(rd.04+06+09+10+11+16)</t>
    </r>
    <r>
      <rPr>
        <sz val="9"/>
        <color theme="1"/>
        <rFont val="Arial"/>
        <family val="2"/>
      </rPr>
      <t xml:space="preserve">                        </t>
    </r>
  </si>
  <si>
    <t>03</t>
  </si>
  <si>
    <t>Impozit pe venit, profit si castiguri din capital de la persoane juridice,   din care:</t>
  </si>
  <si>
    <t>04</t>
  </si>
  <si>
    <t xml:space="preserve">Impozit pe profit                  </t>
  </si>
  <si>
    <t>05</t>
  </si>
  <si>
    <t>Impozit pe venit, profit si castiguri din capital de la persoane fizice (rd.07+ rd.08) ,   din care:</t>
  </si>
  <si>
    <t>06</t>
  </si>
  <si>
    <t>Impozitul pe veniturile din transferul proprietatilor imobiliare din patrimoniul personal *)</t>
  </si>
  <si>
    <t>07</t>
  </si>
  <si>
    <t xml:space="preserve">Cote si sume defalcate din impozitul pe venit </t>
  </si>
  <si>
    <t>08</t>
  </si>
  <si>
    <t>Alte impozite pe venit, profit si castiguri din capital</t>
  </si>
  <si>
    <t>09</t>
  </si>
  <si>
    <t>Impozite şi taxe  pe proprietate</t>
  </si>
  <si>
    <t>10</t>
  </si>
  <si>
    <r>
      <rPr>
        <sz val="9"/>
        <color theme="1"/>
        <rFont val="Arial"/>
        <family val="2"/>
      </rPr>
      <t xml:space="preserve">Impozite si taxe pe bunuri si servicii   </t>
    </r>
    <r>
      <rPr>
        <sz val="8"/>
        <color theme="1"/>
        <rFont val="Arial"/>
        <family val="2"/>
      </rPr>
      <t xml:space="preserve">(rd.12 la rd.15)    </t>
    </r>
    <r>
      <rPr>
        <sz val="9"/>
        <color theme="1"/>
        <rFont val="Arial"/>
        <family val="2"/>
      </rPr>
      <t xml:space="preserve">           </t>
    </r>
  </si>
  <si>
    <t>11</t>
  </si>
  <si>
    <t>Sume defalcate din TVA</t>
  </si>
  <si>
    <t>12</t>
  </si>
  <si>
    <t>Alte impozite si taxe generale pe bunuri  si servicii</t>
  </si>
  <si>
    <t>13</t>
  </si>
  <si>
    <t>Taxe pe servicii specifice</t>
  </si>
  <si>
    <t>14</t>
  </si>
  <si>
    <t>Taxe pe utilizarea bunurilor, autorizarea utilizarii bunurilor sau pe desfasurarea de activitati</t>
  </si>
  <si>
    <t>15</t>
  </si>
  <si>
    <t>Alte impozite si taxe fiscale</t>
  </si>
  <si>
    <t>16</t>
  </si>
  <si>
    <t xml:space="preserve">Venituri nefiscale                      </t>
  </si>
  <si>
    <t>17</t>
  </si>
  <si>
    <t xml:space="preserve">Venituri din capital                      </t>
  </si>
  <si>
    <t>18</t>
  </si>
  <si>
    <t>Operatiuni financiare</t>
  </si>
  <si>
    <t>19</t>
  </si>
  <si>
    <t>Subvenţii (rd.21+22)</t>
  </si>
  <si>
    <t>20</t>
  </si>
  <si>
    <t>Subvenţii de la bugetul de stat</t>
  </si>
  <si>
    <t>21</t>
  </si>
  <si>
    <t>Subvenţii de la alte administratii</t>
  </si>
  <si>
    <t>22</t>
  </si>
  <si>
    <t>Sume primite de la UE  în contul platilor efectuate</t>
  </si>
  <si>
    <t>23</t>
  </si>
  <si>
    <t xml:space="preserve">CHELTUIELI - TOTAL  (rd.24+35+36+39+40)           </t>
  </si>
  <si>
    <t>24</t>
  </si>
  <si>
    <t xml:space="preserve">Cheltuieli de personal                </t>
  </si>
  <si>
    <t>25</t>
  </si>
  <si>
    <t xml:space="preserve">Bunuri si servicii                </t>
  </si>
  <si>
    <t>26</t>
  </si>
  <si>
    <t>Dobanzi</t>
  </si>
  <si>
    <t>27</t>
  </si>
  <si>
    <t xml:space="preserve">Subventii                                  </t>
  </si>
  <si>
    <t>28</t>
  </si>
  <si>
    <t>Fonduri de rezerva</t>
  </si>
  <si>
    <t>29</t>
  </si>
  <si>
    <t xml:space="preserve">Transferuri intre unitati ale administratiei publice                             </t>
  </si>
  <si>
    <t>30</t>
  </si>
  <si>
    <t>Alte transferuri</t>
  </si>
  <si>
    <t>31</t>
  </si>
  <si>
    <t xml:space="preserve">Proiecte cu finantare din Fonduri externe nerambursabile </t>
  </si>
  <si>
    <t>32</t>
  </si>
  <si>
    <t>Asistenta sociala</t>
  </si>
  <si>
    <t>33</t>
  </si>
  <si>
    <t>Alte cheltuieli</t>
  </si>
  <si>
    <t>34</t>
  </si>
  <si>
    <t xml:space="preserve">Cheltuieli de capital                     </t>
  </si>
  <si>
    <t>35</t>
  </si>
  <si>
    <t>Operatiuni financiare (rd.37+38)</t>
  </si>
  <si>
    <t>36</t>
  </si>
  <si>
    <t xml:space="preserve">Imprumuturi acordate                  </t>
  </si>
  <si>
    <t>37</t>
  </si>
  <si>
    <t>Rambursari de credite externe si interne</t>
  </si>
  <si>
    <t>38</t>
  </si>
  <si>
    <t>Plăţi efectuate în anii precedenţi şi recuperate în anul curent</t>
  </si>
  <si>
    <t>39</t>
  </si>
  <si>
    <t>Rezerve</t>
  </si>
  <si>
    <t>40</t>
  </si>
  <si>
    <t>41</t>
  </si>
  <si>
    <t>PE CAPITOLE:</t>
  </si>
  <si>
    <t>42</t>
  </si>
  <si>
    <t xml:space="preserve">Autoritati publice si actiuni externe </t>
  </si>
  <si>
    <t>43</t>
  </si>
  <si>
    <t>Sectiunea de functionare</t>
  </si>
  <si>
    <t>44</t>
  </si>
  <si>
    <t>Sectiunea de dezvoltare</t>
  </si>
  <si>
    <t>45</t>
  </si>
  <si>
    <t xml:space="preserve">Alte servicii publice generale </t>
  </si>
  <si>
    <t>46</t>
  </si>
  <si>
    <t>47</t>
  </si>
  <si>
    <t>48</t>
  </si>
  <si>
    <t xml:space="preserve">Tranzacţii privind datoria publică şi împrumuturi </t>
  </si>
  <si>
    <t>49</t>
  </si>
  <si>
    <t>50</t>
  </si>
  <si>
    <t>51</t>
  </si>
  <si>
    <t xml:space="preserve">Transferuri cu caracter general intre diferite nivele ale administratiei       </t>
  </si>
  <si>
    <t>52</t>
  </si>
  <si>
    <t>53</t>
  </si>
  <si>
    <t>54</t>
  </si>
  <si>
    <t xml:space="preserve">Aparare    </t>
  </si>
  <si>
    <t>55</t>
  </si>
  <si>
    <t>56</t>
  </si>
  <si>
    <t>57</t>
  </si>
  <si>
    <t xml:space="preserve">Ordine publica si siguranta nationala </t>
  </si>
  <si>
    <t>58</t>
  </si>
  <si>
    <t>59</t>
  </si>
  <si>
    <t>60</t>
  </si>
  <si>
    <t xml:space="preserve">Invatamant  </t>
  </si>
  <si>
    <t>61</t>
  </si>
  <si>
    <t>62</t>
  </si>
  <si>
    <t>63</t>
  </si>
  <si>
    <t xml:space="preserve">Sanatate </t>
  </si>
  <si>
    <t>64</t>
  </si>
  <si>
    <t>65</t>
  </si>
  <si>
    <t>66</t>
  </si>
  <si>
    <t xml:space="preserve">Cultura, recreere si religie </t>
  </si>
  <si>
    <t>67</t>
  </si>
  <si>
    <t>68</t>
  </si>
  <si>
    <t>69</t>
  </si>
  <si>
    <t xml:space="preserve">Asigurari si asistenta sociala      </t>
  </si>
  <si>
    <t>70</t>
  </si>
  <si>
    <t>71</t>
  </si>
  <si>
    <t>72</t>
  </si>
  <si>
    <t xml:space="preserve">Locuinte, servicii si dezvoltare publica </t>
  </si>
  <si>
    <t>73</t>
  </si>
  <si>
    <t>74</t>
  </si>
  <si>
    <t>75</t>
  </si>
  <si>
    <t>Protectia mediului</t>
  </si>
  <si>
    <t>76</t>
  </si>
  <si>
    <t>77</t>
  </si>
  <si>
    <t>78</t>
  </si>
  <si>
    <t xml:space="preserve">Actiuni generale economice, comerciale si de munca </t>
  </si>
  <si>
    <t>79</t>
  </si>
  <si>
    <t>80</t>
  </si>
  <si>
    <t>81</t>
  </si>
  <si>
    <t xml:space="preserve">Combustibili si energie </t>
  </si>
  <si>
    <t>82</t>
  </si>
  <si>
    <t>83</t>
  </si>
  <si>
    <t>84</t>
  </si>
  <si>
    <t xml:space="preserve">Agricultura, silvicultura, piscicultura si vanatoare  </t>
  </si>
  <si>
    <t>85</t>
  </si>
  <si>
    <t>86</t>
  </si>
  <si>
    <t>87</t>
  </si>
  <si>
    <t xml:space="preserve">Transporturi </t>
  </si>
  <si>
    <t>88</t>
  </si>
  <si>
    <t>89</t>
  </si>
  <si>
    <t>90</t>
  </si>
  <si>
    <t xml:space="preserve">Alte actiuni economice </t>
  </si>
  <si>
    <t>91</t>
  </si>
  <si>
    <t>92</t>
  </si>
  <si>
    <t>93</t>
  </si>
  <si>
    <r>
      <rPr>
        <sz val="9"/>
        <color theme="1"/>
        <rFont val="Arial"/>
        <family val="2"/>
      </rPr>
      <t xml:space="preserve">               </t>
    </r>
    <r>
      <rPr>
        <vertAlign val="superscript"/>
        <sz val="9"/>
        <color theme="1"/>
        <rFont val="Arial"/>
        <family val="2"/>
      </rPr>
      <t>1)</t>
    </r>
    <r>
      <rPr>
        <sz val="9"/>
        <color theme="1"/>
        <rFont val="Arial"/>
        <family val="2"/>
      </rPr>
      <t xml:space="preserve"> deficit finantat din excedentul anilor precedenti</t>
    </r>
  </si>
  <si>
    <t xml:space="preserve">               *) Numai restanţe din anii precedenţi</t>
  </si>
  <si>
    <t>**) Se înscriu transferurile de sume dintre bugetele care compun bugetul general centralizat</t>
  </si>
  <si>
    <t>PREŞEDINTE,</t>
  </si>
  <si>
    <t>Pataki Csaba</t>
  </si>
  <si>
    <t>Red./Tehn. VE</t>
  </si>
  <si>
    <t>5 ex</t>
  </si>
  <si>
    <t>Anexa nr. II</t>
  </si>
  <si>
    <t>PROIECTUL BUGETULUI LOCAL AL JUDEȚULUI SATU MARE PE ANUL 2025</t>
  </si>
  <si>
    <t>mii lei</t>
  </si>
  <si>
    <t>Buget 
aprobat 
2025</t>
  </si>
  <si>
    <t>Influențe
 (+/-)</t>
  </si>
  <si>
    <t>Buget 
rectificat 
2025</t>
  </si>
  <si>
    <t>ESTIMARI 2014</t>
  </si>
  <si>
    <t>ESTIMARI 2015</t>
  </si>
  <si>
    <t>ESTIMARI 2016</t>
  </si>
  <si>
    <t>TOTAL VENITURI</t>
  </si>
  <si>
    <t>00.01</t>
  </si>
  <si>
    <t>VENITURI PROPRII</t>
  </si>
  <si>
    <t>48.02</t>
  </si>
  <si>
    <t>I.  VENITURI CURENTE</t>
  </si>
  <si>
    <t>00.02</t>
  </si>
  <si>
    <t>A.  VENITURI FISCALE</t>
  </si>
  <si>
    <t>00.03</t>
  </si>
  <si>
    <t>A1.  IMPOZIT  PE VENIT, PROFIT SI CASTIGURI DIN CAPITAL</t>
  </si>
  <si>
    <t>00.04</t>
  </si>
  <si>
    <t xml:space="preserve">A1.1.  IMPOZIT  PE VENIT, PROFIT SI CASTIGURI DIN CAPITAL DE LA PERSOANE JURIDICE </t>
  </si>
  <si>
    <t>00.05</t>
  </si>
  <si>
    <t xml:space="preserve">Impozit pe profit </t>
  </si>
  <si>
    <t>01.02</t>
  </si>
  <si>
    <r>
      <rPr>
        <sz val="10"/>
        <color theme="1"/>
        <rFont val="Arial"/>
        <family val="2"/>
      </rPr>
      <t xml:space="preserve">Impozit pe profit de la agenţi economici </t>
    </r>
    <r>
      <rPr>
        <vertAlign val="superscript"/>
        <sz val="10"/>
        <color theme="1"/>
        <rFont val="Arial"/>
        <family val="2"/>
      </rPr>
      <t>1</t>
    </r>
    <r>
      <rPr>
        <sz val="10"/>
        <color theme="1"/>
        <rFont val="Arial"/>
        <family val="2"/>
      </rPr>
      <t xml:space="preserve">)  </t>
    </r>
  </si>
  <si>
    <t>01.02.01</t>
  </si>
  <si>
    <t>A1.2.  IMPOZIT PE VENIT, PROFIT,  SI CASTIGURI DIN CAPITAL DE LA PERSOANE FIZICE</t>
  </si>
  <si>
    <t>00.06</t>
  </si>
  <si>
    <t>Impozit pe venit</t>
  </si>
  <si>
    <t>03.02</t>
  </si>
  <si>
    <t>Impozit pe onorariul avocaţilor şi notarilor publici</t>
  </si>
  <si>
    <t>03.02.17</t>
  </si>
  <si>
    <t>x</t>
  </si>
  <si>
    <t>Impozitul pe veniturile din transferul proprietatilor imobiliare din patrimoniul personal</t>
  </si>
  <si>
    <t>03.02.18</t>
  </si>
  <si>
    <t>Cote si sume defalcate din impozitul pe venit</t>
  </si>
  <si>
    <t>04.02</t>
  </si>
  <si>
    <t>Cote defalcate din impozitul pe venit</t>
  </si>
  <si>
    <t>04.02.01</t>
  </si>
  <si>
    <t>Sume alocate din cotele defalcate din impozitul pe venit pentru echilibrarea bugetelor locale</t>
  </si>
  <si>
    <t>04.02.04</t>
  </si>
  <si>
    <t>Sume repartizate  pentru finanțarea instituțiilor de spectacole și concerte</t>
  </si>
  <si>
    <t>A1.3.  ALTE IMPOZITE  PE VENIT, PROFIT SI CASTIGURI DIN CAPITAL</t>
  </si>
  <si>
    <t>00.07</t>
  </si>
  <si>
    <t>Alte impozite pe venit, profit si castiguri din capital de la persoane fizice</t>
  </si>
  <si>
    <t>05.02</t>
  </si>
  <si>
    <t xml:space="preserve"> Alte impozite pe venit, profit si castiguri din capital </t>
  </si>
  <si>
    <t>05.02.50</t>
  </si>
  <si>
    <t>A2.  IMPOZIT PE SALARII - TOTAL         - Restante anii anteriori -</t>
  </si>
  <si>
    <t>06.02</t>
  </si>
  <si>
    <t>Cote defalcate din impozitul pe salarii      - Restante anii anteriori -</t>
  </si>
  <si>
    <t>06.02.02</t>
  </si>
  <si>
    <t xml:space="preserve">A3.  IMPOZITE SI TAXE PE PROPRIETATE </t>
  </si>
  <si>
    <t>00.09</t>
  </si>
  <si>
    <t>Impozite si  taxe pe proprietate</t>
  </si>
  <si>
    <t>07.02</t>
  </si>
  <si>
    <t xml:space="preserve">Impozit si taxa pe cladiri </t>
  </si>
  <si>
    <t>07.02.01</t>
  </si>
  <si>
    <t>Impozit pe cladiri de la persoane fizice *)</t>
  </si>
  <si>
    <t>07.02.01.01</t>
  </si>
  <si>
    <t>Impozit si taxa pe cladiri de la persoane juridice *)</t>
  </si>
  <si>
    <t>07.02.01.02</t>
  </si>
  <si>
    <t>Impozit si taxa pe teren</t>
  </si>
  <si>
    <t>07.02.02</t>
  </si>
  <si>
    <t>Impozit pe terenuri de la persoane fizice *)</t>
  </si>
  <si>
    <t>07.02.02.01</t>
  </si>
  <si>
    <t>Impozit si taxa pe teren de la persoane juridice *)</t>
  </si>
  <si>
    <t>07.02.02.02</t>
  </si>
  <si>
    <t xml:space="preserve">Impozitul pe terenul din extravilan   *) </t>
  </si>
  <si>
    <t>07.02.02.03</t>
  </si>
  <si>
    <t xml:space="preserve">Taxe judiciare de timbru si alte taxe de timbru  </t>
  </si>
  <si>
    <t>07.02.03</t>
  </si>
  <si>
    <t xml:space="preserve">Alte impozite si taxe  pe proprietate </t>
  </si>
  <si>
    <t>07.02.50</t>
  </si>
  <si>
    <t>A4.  IMPOZITE SI TAXE PE BUNURI SI SERVICII</t>
  </si>
  <si>
    <t>00.10</t>
  </si>
  <si>
    <t>11.02</t>
  </si>
  <si>
    <t xml:space="preserve">Sume defalcate din taxa pe valoarea adăugată pentru finanţarea cheltuielilor descentralizate la nivelul judeţelor  </t>
  </si>
  <si>
    <t>11.02.01</t>
  </si>
  <si>
    <t>Sume defalcate din taxa pe valoarea adăugată pentru susţinerea sistemului de protecţie a copilului</t>
  </si>
  <si>
    <t>Sume defalcate din taxa pe valoarea adăugată pentru finanțarea măsurilor de protecţie de tip centre de zi şi centre rezidenţiale pentru persoane adulte cu handicap</t>
  </si>
  <si>
    <t>Sume defalcate din taxa pe valoarea adăugată pentru finanțarea cheltuielilor de funcționare a căminelor pentru persoane vârstnice</t>
  </si>
  <si>
    <t>Sume defalcate din taxa pe valoarea adăugată pentru finanţarea cheltuielilor aferente învătământului special şi centrelor judeţene de resurse şi asistenţă educaţională</t>
  </si>
  <si>
    <t>finanţarea cheltuielilor cu bunuri şi servicii pentru întreţinerea curentă a unităţilor de învăţământ special şi centrelor judeţene de resurse şi asistenţă educaţională</t>
  </si>
  <si>
    <t xml:space="preserve">
salarii, sporuri, indemnizatii si alte derpturi salariale in bani stabilite prin lege, precum şi contribuţiile aferente acestora</t>
  </si>
  <si>
    <t>cheltuieli cu bunuri si servicii pentru întreţinerea curentă a unităţilor de învăţământ special şi centrelor judeţene de resurse şi asitenţă educaţională</t>
  </si>
  <si>
    <t>total sume pentru aplicarea prevederilor Legii nr. 85/2016</t>
  </si>
  <si>
    <t>5% din valoarea diferențelor salariale pentru personalul didactic căruia, până la data intrării în vigoare a prezentei legi nu i s-au acordat diferențele salariale și pentru personalul didactic care se pensionează după data intrării în vigoare a Legii nr. 85/2016</t>
  </si>
  <si>
    <t>sume pentru plata drepturilor pesonalului didactic pensionat, care este îndreptățit să primească diferențe salariale pentru perioada octombrie 2008 - 13 mai 2011</t>
  </si>
  <si>
    <t>hotărâri judecătorești pentru plata salariilor învățământului special și a centrelor județene de resurse și asistență educațională</t>
  </si>
  <si>
    <t>Sume defalcate din taxa pe valoarea adăugată pentru finanţării burselor acordate elevilor care frecventează învăţământul special</t>
  </si>
  <si>
    <t>Sume defalcate din taxa pe valoarea adăugată destinată finanţării burselor acordate elevilor care frecventează învăţământul special</t>
  </si>
  <si>
    <t>"Programul pentru şcoli al României"</t>
  </si>
  <si>
    <t>Drepturile copiilor cu cerinte educaționale speciale care frecventează învățământul special</t>
  </si>
  <si>
    <t>Sume defalcate din taxa pe valoarea adăugată pentru finanţarea plăţii contribuţiilor pentru personalul neclerical angajat în unităţile de cult</t>
  </si>
  <si>
    <t>Sume defalcate din taxa pe valoarea adăugată pentru finanţarea stimulentului educațional sub formă de tichete sociale acordate copiilor din familii defavorizate în scopul stimulării participării în învățământul special preșcolar</t>
  </si>
  <si>
    <t>Sume defalcate din taxa pe valoarea adăugată pentru finanţarea drepturilor copiilor/elevilor/tinerilor cu cerințe educaționale speciale integrați în învățământul de masă</t>
  </si>
  <si>
    <t xml:space="preserve">Sume defalcate din taxa pe valoarea adăugată pentru finanţarea cheltuielilor descentralizate la nivelul comunelor, oraşelor, municipiilor, sectoarelor si Municipiului Bucureşti </t>
  </si>
  <si>
    <t>11.02.02</t>
  </si>
  <si>
    <t xml:space="preserve">Sume defalcate din taxa pe valoarea adăugată pentru drumuri </t>
  </si>
  <si>
    <t>11.02.05</t>
  </si>
  <si>
    <t>Sume defalcate din taxa pe valoarea adăugată pentru echilibrarea bugetelor locale</t>
  </si>
  <si>
    <t>11.02.06</t>
  </si>
  <si>
    <t>Sume defalcate din taxa pe valoarea adăugată pentru Programul de dezvoltare a infrastructurii  si a  bazelor sportive din spaţiul rural</t>
  </si>
  <si>
    <t>11.02.07</t>
  </si>
  <si>
    <t>Alte impozite si taxe generale pe bunuri si servicii</t>
  </si>
  <si>
    <t>12.02</t>
  </si>
  <si>
    <t>Taxe hoteliere</t>
  </si>
  <si>
    <t>12.02.07</t>
  </si>
  <si>
    <t>15.02</t>
  </si>
  <si>
    <t>Impozit pe spectacole</t>
  </si>
  <si>
    <t>15.02.01</t>
  </si>
  <si>
    <t>Alte taxe pe servicii specifice</t>
  </si>
  <si>
    <t>15.02.50</t>
  </si>
  <si>
    <t>16.02</t>
  </si>
  <si>
    <t>Impozit pe mijloacele de transport</t>
  </si>
  <si>
    <t>16.02.02</t>
  </si>
  <si>
    <t>Impozit pe mijloacele de transport detinute de persoane fizice *)</t>
  </si>
  <si>
    <t>16.02.02.01</t>
  </si>
  <si>
    <t>Impozit pe mijloacele de transport detinute de persoane juridice *)</t>
  </si>
  <si>
    <t>16.02.02.02</t>
  </si>
  <si>
    <t>Taxe si tarife pentru eliberarea de licente si autorizatii de functionare</t>
  </si>
  <si>
    <t>16.02.03</t>
  </si>
  <si>
    <t>Alte taxe pe utilizarea bunurilor, autorizarea utilizarii bunurilor sau pe desfasurare de activitati</t>
  </si>
  <si>
    <t>16.02.50</t>
  </si>
  <si>
    <t>A6.  ALTE IMPOZITE SI  TAXE  FISCALE</t>
  </si>
  <si>
    <t>00.11</t>
  </si>
  <si>
    <t>18.02</t>
  </si>
  <si>
    <t>Alte impozite si taxe</t>
  </si>
  <si>
    <t>18.02.50</t>
  </si>
  <si>
    <t>C.   VENITURI NEFISCALE</t>
  </si>
  <si>
    <t>00.12</t>
  </si>
  <si>
    <t>C1.  VENITURI DIN PROPRIETATE</t>
  </si>
  <si>
    <t>00.13</t>
  </si>
  <si>
    <t>Venituri din proprietate</t>
  </si>
  <si>
    <t>30.02</t>
  </si>
  <si>
    <t>Varsaminte din profitul net al regiilor autonome, societăţilor şi companiilor naţionale</t>
  </si>
  <si>
    <t>30.02.01</t>
  </si>
  <si>
    <t>Venituri din concesiuni si inchirieri</t>
  </si>
  <si>
    <t>30.02.05</t>
  </si>
  <si>
    <t>Redevente miniere</t>
  </si>
  <si>
    <t>30.02.05.01</t>
  </si>
  <si>
    <t>Alte venituri din concesiuni si inchirieri de catre institutiile publice</t>
  </si>
  <si>
    <t>30.02.05.30</t>
  </si>
  <si>
    <t>Venituri din dividende</t>
  </si>
  <si>
    <t>30.02.08</t>
  </si>
  <si>
    <t>Venituri din dividende de la alti platitori</t>
  </si>
  <si>
    <t>30.02.08.02</t>
  </si>
  <si>
    <t>Alte venituri din proprietate</t>
  </si>
  <si>
    <t>30.02.50</t>
  </si>
  <si>
    <t>Venituri din dobanzi</t>
  </si>
  <si>
    <t>31.02</t>
  </si>
  <si>
    <t>Alte venituri din dobanzi</t>
  </si>
  <si>
    <t>31.02.03</t>
  </si>
  <si>
    <t>C2.  VANZARI DE BUNURI SI SERVICII</t>
  </si>
  <si>
    <t>00.14</t>
  </si>
  <si>
    <t>Venituri din prestari de servicii si alte activitati                                                                                                                                (cod 33.02.08+33.02.10+33.02.12+33.02.24+33.02.27+33.02.28+33.02.50)</t>
  </si>
  <si>
    <t>33.02</t>
  </si>
  <si>
    <t>Venituri din prestari de servicii</t>
  </si>
  <si>
    <t>33.02.08</t>
  </si>
  <si>
    <t>Contributia  parintilor sau sustinatorilor legali pentru intretinerea copiilor in crese</t>
  </si>
  <si>
    <t>33.02.10</t>
  </si>
  <si>
    <t>Contributia  persoanelor beneficiare ale  cantinelor de ajutor social</t>
  </si>
  <si>
    <t>33.02.12</t>
  </si>
  <si>
    <t>Taxe din activitati cadastrale si agricultura</t>
  </si>
  <si>
    <t>33.02.24</t>
  </si>
  <si>
    <t>Contribuţia lunară a părinţilor pentru întreţinerea copiilor în unităţile de protecţie socială</t>
  </si>
  <si>
    <t>33.02.27</t>
  </si>
  <si>
    <t>Venituri din recuperarea cheltuielilor de judecata, imputatii si despagubiri</t>
  </si>
  <si>
    <t>33.02.28</t>
  </si>
  <si>
    <t>Alte venituri din prestari de servicii si alte activitati</t>
  </si>
  <si>
    <t>33.02.50</t>
  </si>
  <si>
    <t>Venituri din taxe administrative, eliberari permise</t>
  </si>
  <si>
    <t>34.02</t>
  </si>
  <si>
    <t>Taxe extrajudiciare de timbru</t>
  </si>
  <si>
    <t>34.02.02</t>
  </si>
  <si>
    <t>Alte venituri din taxe administrative, eliberari permise</t>
  </si>
  <si>
    <t>34.02.50</t>
  </si>
  <si>
    <t>Amenzi, penalitati si confiscari</t>
  </si>
  <si>
    <t>35.02</t>
  </si>
  <si>
    <t>Venituri din amenzi si alte sanctiuni aplicate potrivit dispozitiilor legale</t>
  </si>
  <si>
    <t>35.02.01</t>
  </si>
  <si>
    <t>Penalitati pentru nedepunerea sau depunerea cu intirziere a declaratiei de impozite si taxe</t>
  </si>
  <si>
    <t>35.02.02</t>
  </si>
  <si>
    <t>Incasari din valorificarea bunurilor confiscate, abandonate si alte sume constatate odata cu  confiscarea potrivit legii</t>
  </si>
  <si>
    <t>35.02.03</t>
  </si>
  <si>
    <t>Alte amenzi, penalitati si confiscari</t>
  </si>
  <si>
    <t>35.02.50</t>
  </si>
  <si>
    <t>Diverse venituri                                                                                                                                                                 (cod 36.02.01+36.02.05+36.02.06+36.02.07+36.02.08+36.02.11+36.02.50)</t>
  </si>
  <si>
    <t>36.02</t>
  </si>
  <si>
    <t>Venituri din aplicarea prescriptiei extinctive</t>
  </si>
  <si>
    <t>36.02.01</t>
  </si>
  <si>
    <t xml:space="preserve">Varsaminte din veniturile si/sau disponibilitatile institutiilor publice </t>
  </si>
  <si>
    <t>36.02.05</t>
  </si>
  <si>
    <t>Taxe speciale</t>
  </si>
  <si>
    <t>36.02.06</t>
  </si>
  <si>
    <t>Varsaminte din amortizarea mijloacelor fixe</t>
  </si>
  <si>
    <t>36.02.07</t>
  </si>
  <si>
    <t>Sume provenite din finantarea anilor precedenti - secțiunea de funcționare</t>
  </si>
  <si>
    <t>36.02.32.02</t>
  </si>
  <si>
    <t>Sume provenite din finantarea anilor precedenti - secțiunea de dezvoltare</t>
  </si>
  <si>
    <t>36.02.32.03</t>
  </si>
  <si>
    <t>Alte venituri</t>
  </si>
  <si>
    <t>36.02.50</t>
  </si>
  <si>
    <t>Transferuri voluntare,  altele decat subventiile</t>
  </si>
  <si>
    <t>37.02</t>
  </si>
  <si>
    <t>Donatii si sponsorizari</t>
  </si>
  <si>
    <t>37.02.01</t>
  </si>
  <si>
    <t>Vărsăminte din secţiunea de funcţionare pentru finanţarea secţiunii de dezvoltare a bugetului local (cu semnul minus)</t>
  </si>
  <si>
    <t>37.02.03</t>
  </si>
  <si>
    <t>Vărsăminte din secţiunea de funcţionare</t>
  </si>
  <si>
    <t>37.02.04</t>
  </si>
  <si>
    <t>Sume primite din Fondul de Solidaritate al Uniunii Europene</t>
  </si>
  <si>
    <t>37.02.05</t>
  </si>
  <si>
    <t>Alte transferuri voluntare</t>
  </si>
  <si>
    <t>37.02.50</t>
  </si>
  <si>
    <t>II. VENITURI DIN CAPITAL</t>
  </si>
  <si>
    <t>00.15</t>
  </si>
  <si>
    <t>Venituri din valorificarea unor bunuri</t>
  </si>
  <si>
    <t>39.02</t>
  </si>
  <si>
    <t>Venituri din valorificarea unor bunuri ale institutiilor publice</t>
  </si>
  <si>
    <t>39.02.01</t>
  </si>
  <si>
    <t>Venituri din vanzarea locuintelor construite din fondurile statului</t>
  </si>
  <si>
    <t>39.02.03</t>
  </si>
  <si>
    <t>Venituri din privatizare</t>
  </si>
  <si>
    <t>39.02.04</t>
  </si>
  <si>
    <t>Venituri din vanzarea unor bunuri apartinand domeniului privat al statului sau al unitatilor administrativ-teritoriale</t>
  </si>
  <si>
    <t>39.02.07</t>
  </si>
  <si>
    <t>Depozite speciale pentru constructii de locuinte</t>
  </si>
  <si>
    <t>39.02.10</t>
  </si>
  <si>
    <t>III. OPERAŢIUNI FINANCIARE</t>
  </si>
  <si>
    <t>00.16</t>
  </si>
  <si>
    <t>Încasări din rambursarea împrumuturilor acordate                                                                                                                         (cod 40.02.06+40.02.07+40.02.10+40.02.11+40.02.50)</t>
  </si>
  <si>
    <t>40.02</t>
  </si>
  <si>
    <t>Încasări din rambursarea împrumuturilor pentru înfiinţarea unor instituţii şi servicii publice de interes local sau a unor activităţi finanţate integral din venituri proprii</t>
  </si>
  <si>
    <t>40.02.06</t>
  </si>
  <si>
    <t>Încasări din rambursarea microcreditelor de la persoane fizice şi juridice</t>
  </si>
  <si>
    <t>40.02.07</t>
  </si>
  <si>
    <r>
      <rPr>
        <sz val="10"/>
        <color theme="1"/>
        <rFont val="Arial"/>
        <family val="2"/>
      </rPr>
      <t xml:space="preserve">Împrumuturi temporare din trezoreria statului </t>
    </r>
    <r>
      <rPr>
        <b/>
        <sz val="10"/>
        <color theme="1"/>
        <rFont val="Arial"/>
        <family val="2"/>
      </rPr>
      <t>**)</t>
    </r>
  </si>
  <si>
    <t>40.02.10</t>
  </si>
  <si>
    <t xml:space="preserve">Sume din excedentul anului precedent pentru acoperirea golurilor temporare de casă ale secţiunii de funcţionare**) </t>
  </si>
  <si>
    <t>40.02.11</t>
  </si>
  <si>
    <t xml:space="preserve">Sume din excedentul anului precedent pentru acoperirea golurilor temporare de casǎ ale secţiunii de dezvoltare**) </t>
  </si>
  <si>
    <t>40.02.13</t>
  </si>
  <si>
    <t>Sume din excedentul bugetului local utilizate pentru finanţarea cheltuielilor secţiunii de dezvoltare</t>
  </si>
  <si>
    <t>40.02.14</t>
  </si>
  <si>
    <t>Sume primite în cadrul mecanismului decontării cererilor de plată</t>
  </si>
  <si>
    <t>40.02.16</t>
  </si>
  <si>
    <t>Încasări din rambursarea altor împrumuturi acordate</t>
  </si>
  <si>
    <t>40.02.50</t>
  </si>
  <si>
    <t>IV.  SUBVENTII</t>
  </si>
  <si>
    <t>00.17</t>
  </si>
  <si>
    <t>SUBVENTII DE LA ALTE NIVELE ALE ADMINISTRATIEI PUBLICE</t>
  </si>
  <si>
    <t>00.18</t>
  </si>
  <si>
    <t>Subventii de la bugetul de stat</t>
  </si>
  <si>
    <t>42.02</t>
  </si>
  <si>
    <t>A. De capital                                                                                                                                                                        (cod 42.02.01+42.02.03 la 42.02.07+42.02.09+42.02.10+42.02.12 la 42.02.20)</t>
  </si>
  <si>
    <t>00.19</t>
  </si>
  <si>
    <t>Retehnologizarea centralelor termice şi electrice  de termoficare</t>
  </si>
  <si>
    <t>42.02.01</t>
  </si>
  <si>
    <t>Investitii finantate partial din imprumuturi externe</t>
  </si>
  <si>
    <t>42.02.03</t>
  </si>
  <si>
    <t>Aeroporturi de interes local</t>
  </si>
  <si>
    <t>42.02.04</t>
  </si>
  <si>
    <t>Planuri si  regulamente de urbanism</t>
  </si>
  <si>
    <t>42.02.05</t>
  </si>
  <si>
    <t>Străzi care se vor amenaja în perimetrele destinate construcţiilor de cvartale de locuinţe noi</t>
  </si>
  <si>
    <t>42.02.06</t>
  </si>
  <si>
    <t>Finanţarea studiilor de fezabilitate aferente proiectelor SAPARD</t>
  </si>
  <si>
    <t>42.02.07</t>
  </si>
  <si>
    <t>Finanţarea programului de pietruire a drumurilor comunale şi alimentare cu apă a satelor</t>
  </si>
  <si>
    <t>42.02.09</t>
  </si>
  <si>
    <t>Finanţarea subprogramului privind pietruirea, reabilitarea, modernizarea şi/sau asfaltarea drumurilor de interes local clasate</t>
  </si>
  <si>
    <t>42.02.09.01</t>
  </si>
  <si>
    <t>Finanţarea subprogramului privind alimentarea cu apă a satelor</t>
  </si>
  <si>
    <t>42.02.09.02</t>
  </si>
  <si>
    <t xml:space="preserve">Finanţarea subprogramului privind canalizarea şi epurarea apelor uzate </t>
  </si>
  <si>
    <t>42.02.09.03</t>
  </si>
  <si>
    <t>Finanţarea acţiunilor privind reducerea riscului seismic al construcţiilor existente cu destinaţie de locuinţă</t>
  </si>
  <si>
    <t>42.02.10</t>
  </si>
  <si>
    <t>Subvenţii pentru reabilitarea termică a clădirilor de locuit</t>
  </si>
  <si>
    <t>42.02.12</t>
  </si>
  <si>
    <t>Subvenţii pentru finanţarea programelor multianuale prioritare de mediu şi gospodărire a apelor</t>
  </si>
  <si>
    <t>42.02.13</t>
  </si>
  <si>
    <t>Finanţarea unor cheltuieli de capital ale unităţilor de învăţământ preuniversitar</t>
  </si>
  <si>
    <t>42.02.14</t>
  </si>
  <si>
    <t xml:space="preserve">Subvenţii primite din Fondul Naţional de Dezvoltare **) </t>
  </si>
  <si>
    <t>42.02.15</t>
  </si>
  <si>
    <t>Subvenţii de la bugetul de stat către bugetele locale pentru finantarea investitiilor în sănătate</t>
  </si>
  <si>
    <t>42.02.16</t>
  </si>
  <si>
    <t>Subvenţii de la bugetul de stat către bugetele locale pentru finanţarea aparaturii medicale şi echipamentelor de comunicaţii în urgenţă în sănătate</t>
  </si>
  <si>
    <t>42.02.16.01</t>
  </si>
  <si>
    <t>Subvenţii de la bugetul de stat către bugetele locale pentru finanţarea reparaţiilor capitale în sănătate</t>
  </si>
  <si>
    <t>42.02.16.02</t>
  </si>
  <si>
    <t>Subvenţii de la bugetul de stat către bugetele locale pentru finanţarea altor investiţii în sănătate</t>
  </si>
  <si>
    <t>42.02.16.03</t>
  </si>
  <si>
    <t>Subventii pentru finalizarea lucrarilor de constructie a asezamintelor culturale</t>
  </si>
  <si>
    <t>42.02.17</t>
  </si>
  <si>
    <t>Subvenţii din veniturile proprii ale Ministerului Sănătăţii către bugetele locale pentru finanţarea investiţiilor în sănătate</t>
  </si>
  <si>
    <t>42.02.18</t>
  </si>
  <si>
    <t>Subvenţii din veniturile proprii ale Ministerului Sănătăţii către bugetele locale pentru finanţarea aparaturii medicale şi echipamentelor de comunicaţii în urgenţă în sănătate</t>
  </si>
  <si>
    <t>42.02.18.01</t>
  </si>
  <si>
    <t>Subvenţii din veniturile proprii ale Ministerului Sănătăţii către bugetele locale pentru finanţarea reparaţiilor capitale în sănătate</t>
  </si>
  <si>
    <t>42.02.18.02</t>
  </si>
  <si>
    <t>Subvenţii din veniturile proprii ale Ministerului Sănătăţii către bugetele locale pentru finanţarea altor investiţii în sănătate</t>
  </si>
  <si>
    <t>42.02.18.03</t>
  </si>
  <si>
    <t>Subvenţii către bugetele locale pentru finanţarea programelor multianuale prioritare de mediu şi gospodarire a apelor</t>
  </si>
  <si>
    <t>42.02.19</t>
  </si>
  <si>
    <t>Subventii de la bugetul de stat catre bugetele locale necesare sustinerii derularii proiectelor finantate din FEN postaderare</t>
  </si>
  <si>
    <t>42.02.20</t>
  </si>
  <si>
    <t>B.  Curente</t>
  </si>
  <si>
    <t>00.20</t>
  </si>
  <si>
    <t>Alte drepturi pentru dizabilități și adopție</t>
  </si>
  <si>
    <t>42.02.21</t>
  </si>
  <si>
    <t>Subventii primite din Fondul de Interventie**)</t>
  </si>
  <si>
    <t>42.02.28</t>
  </si>
  <si>
    <t>Finantarea  lucrărilor de cadastru imobiliar</t>
  </si>
  <si>
    <t>42.02.29</t>
  </si>
  <si>
    <t>Subvenţii pentru compensarea creşterilor neprevizionate ale preţurilor la combustibili</t>
  </si>
  <si>
    <t>42.02.32</t>
  </si>
  <si>
    <t>Sprijin financiar pentru constituirea familiei</t>
  </si>
  <si>
    <t>42.02.33</t>
  </si>
  <si>
    <t>Subvenţii pentru acordarea ajutorului pentru încălzirea locuinţei cu lemne, cărbuni, combustibili petrolieri</t>
  </si>
  <si>
    <t>42.02.34</t>
  </si>
  <si>
    <t>Subvenţii din bugetul de stat pentru finanţarea unităţilor de asistenţă medico-sociale</t>
  </si>
  <si>
    <t>42.02.35</t>
  </si>
  <si>
    <t>Subvenţii pentru acordarea trusoului pentru nou-născuţi</t>
  </si>
  <si>
    <t>42.02.36</t>
  </si>
  <si>
    <t>Subventii de la bugetul de stat către bugetele locale pentru finanţarea programelor de electrificare</t>
  </si>
  <si>
    <t>42.02.37</t>
  </si>
  <si>
    <t>Subventii de la bugetul de  stat catre bugetele locale pentru realizarea obiectivelor de investitii in turism</t>
  </si>
  <si>
    <t>42.02.40</t>
  </si>
  <si>
    <t>Subventii din bugetul de stat pentru finantarea sanatatii</t>
  </si>
  <si>
    <t>42.02.41</t>
  </si>
  <si>
    <t>Sume primite de administratiile locale în cadrul programelor FEGA implementate de APIA</t>
  </si>
  <si>
    <t>42.02.42</t>
  </si>
  <si>
    <t>Subventii din bugetul de stat pentru finantarea camerelor agricole</t>
  </si>
  <si>
    <t>42.02.44</t>
  </si>
  <si>
    <t>Sume primite de administratiile locale în cadrul programelor finantate din Fondul Social European</t>
  </si>
  <si>
    <t>42.02.45</t>
  </si>
  <si>
    <t>Sume alocate din bugetul de stat aferente corecţiilor financiare</t>
  </si>
  <si>
    <t>42.02.46</t>
  </si>
  <si>
    <t>Subventii primite de la bugetul de stat pentru finantarea unor programe de interes national (42.02.51.01+42.02.51.02)</t>
  </si>
  <si>
    <t>42.02.51</t>
  </si>
  <si>
    <t>Subventii primite de la bugetul de stat pentru finantarea unor programe de interes national, destinate sectiunii de functionare a bugetului local</t>
  </si>
  <si>
    <t>42.02.51.01</t>
  </si>
  <si>
    <t>Subventii primite de la bugetul de stat pentru finantarea unor programe de interes national, destinate sectiunii de dezvoltare a bugetului local</t>
  </si>
  <si>
    <t>42.02.51.02</t>
  </si>
  <si>
    <t>Subventii primite de la bugetul de stat pentru finantarea investitiilor pentru institutii publice de asistenta sociala si unitati de asistenta medico-sociale</t>
  </si>
  <si>
    <t>42.02.52</t>
  </si>
  <si>
    <t>Finanţarea subprogramului Infrastructură la nivel judeţean</t>
  </si>
  <si>
    <t>42.02.59</t>
  </si>
  <si>
    <t>42.02.62</t>
  </si>
  <si>
    <t>Subvenţii de la bugetul de stat pentru finanţarea unor cheltuieli urgente şi plata arieratelor</t>
  </si>
  <si>
    <t>42.02.63</t>
  </si>
  <si>
    <t>Subvenţii de la bugetul de stat pentru finanţarea unor cheltuieli urgente şi plata arieratelor, destinate secţiunii de funcţionare</t>
  </si>
  <si>
    <t>42.02.63.01</t>
  </si>
  <si>
    <t>Subvenţii de la bugetul de stat pentru finanţarea unor cheltuieli urgente şi plata arieratelor, destinate secţiunii de dezvoltare</t>
  </si>
  <si>
    <t>42.02.63.02</t>
  </si>
  <si>
    <t>Finanţarea Programului Naţional de Dezvoltare Locală</t>
  </si>
  <si>
    <t>42.02.65</t>
  </si>
  <si>
    <t>Subvenţii de la bugetul de stat către bugetele locale necesare susţinerii derulării proiectelor finanţate din fonduri externe nerambursabile (FEN) postaderare aferete perioadei de programare 2014-2020</t>
  </si>
  <si>
    <t>42.02.69</t>
  </si>
  <si>
    <t>Subvenții pentru realizarea activității de colectare, transport, depozitare și neutralizare a 
deșeurilor de origine animală</t>
  </si>
  <si>
    <t>42.02.73</t>
  </si>
  <si>
    <t>Subvenții de la bugetul de stat către bugetele locale pentru Programul național de investiții „Anghel Saligny”</t>
  </si>
  <si>
    <t>42.02.87</t>
  </si>
  <si>
    <t>Alocări de sume din PNRR aferente asistenței financiare nerambursabile ( cod 42.02.88 01 la 42.02.88.03)</t>
  </si>
  <si>
    <t>42.02.88</t>
  </si>
  <si>
    <t>Fonduri europene nerambursabile</t>
  </si>
  <si>
    <t>42.02.88.01</t>
  </si>
  <si>
    <t>Finantare publica naționala</t>
  </si>
  <si>
    <t>42.02.88.02</t>
  </si>
  <si>
    <t>Sume aferente TVA</t>
  </si>
  <si>
    <t>42.02.88.03</t>
  </si>
  <si>
    <t>Subvenții de la bugetul de stat necesare susținerii derulării proiectelor finanțate din fonduri externe nerambursabile (FEN) postaderare, aferente perioadei de programare 2021-2027     (cod 42.02.93.01 + 42.02.93.03)</t>
  </si>
  <si>
    <t>42.02.93</t>
  </si>
  <si>
    <t xml:space="preserve">Subvenții de la bugetul de stat către bugetele locale necesare susținerii derulării proiectelor finanțate din FEN postaderare, aferente perioadei de programare 2021-2027     </t>
  </si>
  <si>
    <t>42.02.93.03</t>
  </si>
  <si>
    <t>Subventii de la alte administratii</t>
  </si>
  <si>
    <t>43.02</t>
  </si>
  <si>
    <t>Subventii primite de bugetele consiliilor judetene pentru protectia copilului</t>
  </si>
  <si>
    <t>43.02.01</t>
  </si>
  <si>
    <t xml:space="preserve">Subvenţii de la bugetul asigurărilor pentru şomaj către bugetele locale, pentru finanţarea programelor pentru ocuparea temporară a fortei de munca si subventionarea locurilor de munca </t>
  </si>
  <si>
    <t>43.02.04</t>
  </si>
  <si>
    <t>Subventii primite de  la alte bugete pentru instituţiile de asistenţă socială pentru persoanele cu handicap</t>
  </si>
  <si>
    <t>43.02.07</t>
  </si>
  <si>
    <t>Subvenţii primite  de la bugetele consiliilor locale şi judeţene pentru ajutoare  în situaţii de extremă dificultate  **)</t>
  </si>
  <si>
    <t>43.02.08</t>
  </si>
  <si>
    <t>Sume alocate din sumele obținute în urma scoaterii la licitație a certificatelor de emisii de gaze cu efect de seră pentru finanțarea proiectelor de investiții</t>
  </si>
  <si>
    <t>43.02.44</t>
  </si>
  <si>
    <t xml:space="preserve">Sume primite de la UE/alţi donatori  în contul plăţilor efectuate şi prefinanţări  </t>
  </si>
  <si>
    <t>45.02</t>
  </si>
  <si>
    <t>Fondul European de Dezvoltare Regionala</t>
  </si>
  <si>
    <t>45.02.01</t>
  </si>
  <si>
    <t>Sume primite în contul plăţilor efectuate în anul curent</t>
  </si>
  <si>
    <t>45.02.01.01</t>
  </si>
  <si>
    <t>Sume primite în contul plăţilor efectuate în anii anteriori</t>
  </si>
  <si>
    <t>45.02.01.02</t>
  </si>
  <si>
    <t>Prefinanţare</t>
  </si>
  <si>
    <t>45.02.01.03</t>
  </si>
  <si>
    <t>Corecții financiare</t>
  </si>
  <si>
    <t>45.02.01.04</t>
  </si>
  <si>
    <t>Fondul Social European</t>
  </si>
  <si>
    <t>45.02.02</t>
  </si>
  <si>
    <t>45.02.02.01</t>
  </si>
  <si>
    <t>45.02.02.02</t>
  </si>
  <si>
    <t>45.02.02.03</t>
  </si>
  <si>
    <t>45.02.02.04</t>
  </si>
  <si>
    <t>Fondul de Coeziune</t>
  </si>
  <si>
    <t>45.02.03</t>
  </si>
  <si>
    <t>45.02.03.01</t>
  </si>
  <si>
    <t>45.02.03.02</t>
  </si>
  <si>
    <t>45.02.03.03</t>
  </si>
  <si>
    <t>Fondul European Agricol de Dezvoltare Rurala</t>
  </si>
  <si>
    <t>45.02.04</t>
  </si>
  <si>
    <t>45.02.04.01</t>
  </si>
  <si>
    <t>45.02.04.02</t>
  </si>
  <si>
    <t>45.02.04.03</t>
  </si>
  <si>
    <t>Fondul European pentru Pescuit</t>
  </si>
  <si>
    <t>45.02.05</t>
  </si>
  <si>
    <t>45.02.05.01</t>
  </si>
  <si>
    <t>45.02.05.02</t>
  </si>
  <si>
    <t>45.02.05.03</t>
  </si>
  <si>
    <t>Instrumentul de Asistenta pentru Preaderare</t>
  </si>
  <si>
    <t>45.02.07</t>
  </si>
  <si>
    <t>45.02.07.01</t>
  </si>
  <si>
    <t>45.02.07.02</t>
  </si>
  <si>
    <t>45.02.07.03</t>
  </si>
  <si>
    <t>Instrumentul European de Vecinatate si Parteneriat</t>
  </si>
  <si>
    <t>45.02.08</t>
  </si>
  <si>
    <t>45.02.08.01</t>
  </si>
  <si>
    <t>45.02.08.02</t>
  </si>
  <si>
    <t>45.02.08.03</t>
  </si>
  <si>
    <t>45.02.08.04</t>
  </si>
  <si>
    <t>Programe comunitare finantate in perioada 2007-2013</t>
  </si>
  <si>
    <t>45.02.15</t>
  </si>
  <si>
    <t>45.02.15.01</t>
  </si>
  <si>
    <t>45.02.15.02</t>
  </si>
  <si>
    <t>45.02.15.03</t>
  </si>
  <si>
    <t>Fondul European de Dezvoltare Regională (FEDR), aferent cadrului financiar 2021-2027</t>
  </si>
  <si>
    <t>45.02.48</t>
  </si>
  <si>
    <t>45.02.48.01</t>
  </si>
  <si>
    <t>45.02.48.02</t>
  </si>
  <si>
    <t>45.02.48.03</t>
  </si>
  <si>
    <t>Fondul Social European Plus (FSE+), aferent cadrului financiar 2021 - 2027</t>
  </si>
  <si>
    <t>45.02.49</t>
  </si>
  <si>
    <t>45.02.49.01</t>
  </si>
  <si>
    <t>45.02.49.02</t>
  </si>
  <si>
    <t>Sume primite in avans</t>
  </si>
  <si>
    <t>45.02.49.03</t>
  </si>
  <si>
    <t xml:space="preserve">Instrumentul de vecinătate, cooperare pentru dezvoltare și cooperare internațională - Europa globală  (NDICI) </t>
  </si>
  <si>
    <t>45.02.66</t>
  </si>
  <si>
    <t>45.02.66.01</t>
  </si>
  <si>
    <t>45.02.66.02</t>
  </si>
  <si>
    <t>45.02.66.03</t>
  </si>
  <si>
    <t>Alte sume primite de la UE</t>
  </si>
  <si>
    <t>46.02</t>
  </si>
  <si>
    <t>Alte sume primite din fonduri de la Uniunea Europeana pentru programele operationale finantate din cadrul financiar 2014-2020</t>
  </si>
  <si>
    <t>Sume primite de la UE/alti donatori in contul platilor efectuate si prefinantari aferente cadrului financiar 2014-2020</t>
  </si>
  <si>
    <t>X</t>
  </si>
  <si>
    <t>Fondul European de Dezvoltare Regională (FEDR)</t>
  </si>
  <si>
    <t>48.02.01</t>
  </si>
  <si>
    <t>48.02.01.01</t>
  </si>
  <si>
    <t>48.02.01.02</t>
  </si>
  <si>
    <t>48.02.01.03</t>
  </si>
  <si>
    <t>Fondul Social European (FSE)</t>
  </si>
  <si>
    <t>48.02.02</t>
  </si>
  <si>
    <t>48.02.02.01</t>
  </si>
  <si>
    <t>48.02.02.02</t>
  </si>
  <si>
    <t>48.02.02.03</t>
  </si>
  <si>
    <t xml:space="preserve">Fondul de Coeziune (FC)  </t>
  </si>
  <si>
    <t>48.02.03</t>
  </si>
  <si>
    <t>48.02.03.01</t>
  </si>
  <si>
    <t>48.02.03.02</t>
  </si>
  <si>
    <t>48.02.03.03</t>
  </si>
  <si>
    <t xml:space="preserve">Fondul European Agricol de Dezvoltare Rurala  (FEADR)  </t>
  </si>
  <si>
    <t>48.02.04</t>
  </si>
  <si>
    <t>48.02.04.01</t>
  </si>
  <si>
    <t>48.02.04.02</t>
  </si>
  <si>
    <t>48.02.04.03</t>
  </si>
  <si>
    <t>Fondul European  pentru Pescuit și Afaceri Maritime</t>
  </si>
  <si>
    <t>48.02.05</t>
  </si>
  <si>
    <t>48.02.05.01</t>
  </si>
  <si>
    <t>48.02.05.02</t>
  </si>
  <si>
    <t>48.02.05.03</t>
  </si>
  <si>
    <t>Instrumentul de Asistenţă pentru Preaderare (IPA II)</t>
  </si>
  <si>
    <t>48.02.11</t>
  </si>
  <si>
    <t>48.02.11.01</t>
  </si>
  <si>
    <t>48.02.11.02</t>
  </si>
  <si>
    <t>48.02.11.03</t>
  </si>
  <si>
    <t>Instrumentul European de Vecinătate (ENI)</t>
  </si>
  <si>
    <t>48.02.12</t>
  </si>
  <si>
    <t>48.02.12.01</t>
  </si>
  <si>
    <t>48.02.12.02</t>
  </si>
  <si>
    <t>48.02.12.03</t>
  </si>
  <si>
    <t xml:space="preserve">Alte programe  comunitare finanțate în perioada 2014-2020 (APC) </t>
  </si>
  <si>
    <t>48.02.15</t>
  </si>
  <si>
    <t>48.02.15.01</t>
  </si>
  <si>
    <t>48.02.15.02</t>
  </si>
  <si>
    <t>Mecanismul  pentru Interconectarea Europei</t>
  </si>
  <si>
    <t>48.02.19</t>
  </si>
  <si>
    <t>48.02.19.01</t>
  </si>
  <si>
    <t>48.02.19.02</t>
  </si>
  <si>
    <t>48.02.19.03</t>
  </si>
  <si>
    <t>VENITURILE SECŢIUNII DE FUNCŢIONARE</t>
  </si>
  <si>
    <t xml:space="preserve">A1.  IMPOZIT  PE VENIT, PROFIT SI CASTIGURI DIN CAPITAL </t>
  </si>
  <si>
    <t>A1.1.  IMPOZIT  PE VENIT, PROFIT SI CASTIGURI DIN CAPITAL DE LA PERSOANE JURIDICE</t>
  </si>
  <si>
    <t>Impozit pe profit</t>
  </si>
  <si>
    <t xml:space="preserve">Impozit pe profit de la agenţi economici 1)  </t>
  </si>
  <si>
    <t xml:space="preserve">Impozit pe venit </t>
  </si>
  <si>
    <t xml:space="preserve">Impozitul pe veniturile din transferul proprietatilor imobiliare din patrimoniul personal </t>
  </si>
  <si>
    <t>A3.  IMPOZITE SI TAXE PE PROPRIETATE</t>
  </si>
  <si>
    <t>Impozit si taxa pe cladiri</t>
  </si>
  <si>
    <t xml:space="preserve">A4.  IMPOZITE SI TAXE PE BUNURI SI SERVICII </t>
  </si>
  <si>
    <t>pentru finanţarea cheltuielilor cu bunuri şi servicii pentru întreţinerea curentă a unităţilor de învăţământ special şi centrelor judeţene de resurse şi asistenţă educaţională</t>
  </si>
  <si>
    <t>salarii, sporuri, indemnizatii si alte derpturi salariale in bani stabilite prin lege, precum şi contribuţiile aferente acestora</t>
  </si>
  <si>
    <t>total sume pentru aplicarea prevederilor Legii nr. 85/2016,</t>
  </si>
  <si>
    <t>Sume defalcate din taxa pe valoarea adăugată pentru finanţarea burselor acordate elevilor care frecventează învăţământul special</t>
  </si>
  <si>
    <t>SJU</t>
  </si>
  <si>
    <t>PNEUMO</t>
  </si>
  <si>
    <t xml:space="preserve">Taxe pe utilizarea bunurilor, autorizarea utilizarii bunurilor sau pe desfasurarea de activitati </t>
  </si>
  <si>
    <t xml:space="preserve">Amenzi, penalitati si confiscari </t>
  </si>
  <si>
    <t>Venituri din amenzi si alte sanctiuni aplicate de catre alte institutii de specialitate</t>
  </si>
  <si>
    <t>35.02.01.02</t>
  </si>
  <si>
    <t>Diverse venituri</t>
  </si>
  <si>
    <t xml:space="preserve">Transferuri voluntare,  altele decat subventiile  </t>
  </si>
  <si>
    <t>Împrumuturi temporare din trezoreria statului**)</t>
  </si>
  <si>
    <t xml:space="preserve">Sume din excedentul anului precedent pentru acoperirea golurilor temporare de casă**) </t>
  </si>
  <si>
    <t xml:space="preserve">IV.  SUBVENTII </t>
  </si>
  <si>
    <t xml:space="preserve">SUBVENTII DE LA ALTE NIVELE ALE ADMINISTRATIEI PUBLICE </t>
  </si>
  <si>
    <t>B.  Curente                                                                                                                       (cod 42.02.21+42.02.28+42.02.29+42.02.32+42.02.33+42.02.34 la42.02.37+42.02.40+42.02.41)</t>
  </si>
  <si>
    <t>Subventii primite de la bugetul de stat pentru finantarea unor programe de interes national (42.02.51.01)</t>
  </si>
  <si>
    <t xml:space="preserve">Subventii de la alte administratii </t>
  </si>
  <si>
    <t>Subventii primite de  la alte bugete locale pentru instituţiile de asistenţă socială pentru persoanele cu handicap</t>
  </si>
  <si>
    <t>VENITURILE SECŢIUNII DE DEZVOLTARE  - TOTAL</t>
  </si>
  <si>
    <t>00.01 SD</t>
  </si>
  <si>
    <t>VENITURII PROPRII</t>
  </si>
  <si>
    <t>VENITURI CURENTE</t>
  </si>
  <si>
    <t>VENITURI FISCALE</t>
  </si>
  <si>
    <t xml:space="preserve">VENITURI NEFISCALE </t>
  </si>
  <si>
    <t xml:space="preserve">C2.  VANZARI DE BUNURI SI SERVICII </t>
  </si>
  <si>
    <t>Finanţarea programului de pietruire a drumurilor comunale şi alimentare cu apă a satelor (cod 42.02.09.01+42.02.09.02+42.02.09.03)</t>
  </si>
  <si>
    <t>Subvenţii de la bugetul de stat către bugetele locale pentru finantarea investitiilor în sănătate (cod 42.02.16.01+42.02.16.02+42.02.16.03)</t>
  </si>
  <si>
    <t>Subvenţii din veniturile proprii ale Ministerului Sănătăţii către bugetele locale pentru finanţarea investiţiilor în sănătate (cod 42.02.18.01+42.02.18.02+48.02.18.03)</t>
  </si>
  <si>
    <t>Sume FEN postaderare in contul platilor efectuate si prefinantari</t>
  </si>
  <si>
    <t xml:space="preserve">Instrumentul de Asistenta pentru Preaderare </t>
  </si>
  <si>
    <t xml:space="preserve">Programe comunitare finantate in perioada 2007-2013 </t>
  </si>
  <si>
    <t xml:space="preserve"> </t>
  </si>
  <si>
    <t>TOTAL CHELTUIELI</t>
  </si>
  <si>
    <t>din care:</t>
  </si>
  <si>
    <t>Secţiunea de funcţionare</t>
  </si>
  <si>
    <t>Secţiunea de dezvoltare</t>
  </si>
  <si>
    <t>Partea I-a SERVICII PUBLICE GENERALE</t>
  </si>
  <si>
    <t>51.02  Autorităţi publice şi acţiuni externe</t>
  </si>
  <si>
    <t>Autoritati executive si legislative</t>
  </si>
  <si>
    <t>Autorităţi executive</t>
  </si>
  <si>
    <t>Cheltuieli curente</t>
  </si>
  <si>
    <t>din care cotizatii asociatii si fundatii (art. 5911)</t>
  </si>
  <si>
    <t>transferuri unitati administrativ-teritoriale</t>
  </si>
  <si>
    <t>alte transferuri interne (institulii publice, ministere) (alin. 550118)</t>
  </si>
  <si>
    <t>Restituiri din anii precedenti</t>
  </si>
  <si>
    <t>din care pentru:</t>
  </si>
  <si>
    <t>cheltuieli de capital</t>
  </si>
  <si>
    <t>Serviciu Salvamont - secțiune de dezvoltare</t>
  </si>
  <si>
    <t>Cofinanțare 2% "Proiect regional de dezvoltare a infrastructurii de apă şi apă uzată din judeţul Satu Mare/Regiunea Nord-Vest, în perioada 2014-2020) (alin.550113)</t>
  </si>
  <si>
    <t>Cofinanțare proiect ”Sprijin pentru pregătirea aplicației de finanțare și a documentațiilor de atribuire pentru Proiectul regional de dezvoltare a infrastructurii de apă și apă uzată din județul Satu Mare/Regiunea Nord-Vest, în perioada 2014-2020” (alin. 550113)</t>
  </si>
  <si>
    <t>Cofinantare 2% proiect Digitalizarea proceselor de citire a contoarelor si detectarea pierderilor de apa in judetul Satu Mare, inițiat de operatorul Regional de Apă și Canal, Apaserv Satu Mare SA (Apaserv) (550113)</t>
  </si>
  <si>
    <t>Transferuri pentu asociatii de dezvoltare intercomuitara (550142)</t>
  </si>
  <si>
    <t>"Eficientizarea activităților de arhivare la nivelul UAT Județul Satu Mare" (Ministerul cercetarii)</t>
  </si>
  <si>
    <t>Creșterea eficienței energetice a sediului administrativ al Consiliului Județean Satu Mare (PNRR)</t>
  </si>
  <si>
    <t>cheltuieli neeligibile - titl. 20</t>
  </si>
  <si>
    <t>cheltuieli eligibile - titl. 60</t>
  </si>
  <si>
    <t>Total Serviciu Salvamont</t>
  </si>
  <si>
    <t>54.02  Alte servicii publice generale</t>
  </si>
  <si>
    <t>din care :</t>
  </si>
  <si>
    <t>1. Fond de rezerva bugetara la dispozitia autoritatilor locale</t>
  </si>
  <si>
    <t>540205</t>
  </si>
  <si>
    <t>Bugetul Local</t>
  </si>
  <si>
    <t>Județul Satu Mare</t>
  </si>
  <si>
    <t>2. Servicii publice comunitare de evidenţă a persoanelor</t>
  </si>
  <si>
    <t>3. Alegeri locale</t>
  </si>
  <si>
    <t>55.02  Tranzacţii privind datoria publică şi împrumuturi</t>
  </si>
  <si>
    <t>Dobanzi aferente datoriei publice interne</t>
  </si>
  <si>
    <t>dobânzi și comisioane împrumut BCR</t>
  </si>
  <si>
    <t>dobânzi împrumut Trezoreria Statului cf. OUG nr.24/2023</t>
  </si>
  <si>
    <t>dobânzi imprumut Trezoreria Statului cf. OUG nr.92/2023</t>
  </si>
  <si>
    <t>Rambursare imprumut Trezoreria Statului cf. OUG nr.24/2023 
(alin. 850105)</t>
  </si>
  <si>
    <t xml:space="preserve">Partea a II-a APARARE, ORDINE PUBLICA SI SIGURANTA NATIONALA </t>
  </si>
  <si>
    <t>60.02  Aparare</t>
  </si>
  <si>
    <t>Aparare nationala</t>
  </si>
  <si>
    <t>Centrul Militar Judeţean Satu Mare</t>
  </si>
  <si>
    <t>61.02  Ordine publică şi siguranţă naţională</t>
  </si>
  <si>
    <t>Protectie civila</t>
  </si>
  <si>
    <t>610205</t>
  </si>
  <si>
    <t>Inspectoratul Judeţean pentru Situaţii de Urgenţă Someş Satu Mare</t>
  </si>
  <si>
    <t>610205(01)</t>
  </si>
  <si>
    <t>Proiect transfrontalier Ungaria-România "Dezvoltarea cooperării comune şi a centrelor de pregătire în situaţii de urgenţă"</t>
  </si>
  <si>
    <t>Alte cheltuieli în domeniul ordinii publice şi siguranţei naţionale</t>
  </si>
  <si>
    <t>Serviciul Public Județean Salvamont</t>
  </si>
  <si>
    <t>610205(03)</t>
  </si>
  <si>
    <t>1,15 dion pervederile anului 2023</t>
  </si>
  <si>
    <t>Cofinanţare proiect Asociaţia MULTISALVA - START - "Întărirea Operabilităţii intersectioriale în zona transfrontalieră"</t>
  </si>
  <si>
    <t xml:space="preserve">Centru de monitorizare, coordonare integrată și suport în situații de urgență </t>
  </si>
  <si>
    <t>Partea a III-a CHELTUIELI SOCIAL-CULTURALE</t>
  </si>
  <si>
    <t>65.02  Învăţământ</t>
  </si>
  <si>
    <t>Învăţământ special</t>
  </si>
  <si>
    <t>1. Centrul Şcolar pentru Educaţie Incluzivă Satu Mare</t>
  </si>
  <si>
    <t>65020704(03)</t>
  </si>
  <si>
    <t>Alocaţii bugetare</t>
  </si>
  <si>
    <t>cheltuieli de personal</t>
  </si>
  <si>
    <t>finanţarea drepturilor copiilor cu cerinte educaționale speciale care frecventează învățământul special</t>
  </si>
  <si>
    <t>FEN</t>
  </si>
  <si>
    <t>Donaţii şi  sponsorizări</t>
  </si>
  <si>
    <t>2. Liceul Tehnologic Simion Bărnuţiu Carei</t>
  </si>
  <si>
    <t>65020704(01)</t>
  </si>
  <si>
    <t>Finanţarea drepturilor copiilor cu cerinte educaționale speciale care frecventează învățământul special</t>
  </si>
  <si>
    <t xml:space="preserve">3. Liceul Tehnologic Elisa Zamfirescu Satu Mare </t>
  </si>
  <si>
    <t>Centrul Judeţean de Resurse şi Asistenţă Educaţională Satu Mare</t>
  </si>
  <si>
    <t>65020704(04)</t>
  </si>
  <si>
    <t>"Programul pentru şcoli al României" conform prevederilor HG nr. 640/2017</t>
  </si>
  <si>
    <t>650250(01)</t>
  </si>
  <si>
    <t>finanţarea drepturilor privind acordarea de produse lactate şi de panificaţie pentru elevii din învăţământul primar şi gimnazial de stat şi privat, precum şi pentru copiii preşcolari din grădiniţele de stat şi private cu program normal de 4 ore</t>
  </si>
  <si>
    <t>finanţarea cheltuielilor privind implementarea programului de încurajare a consumului de fructe proaspete în şcoli, pentru elevii din clasele I - VIII care frecventează învăţământul de stat şi privat autorizat/acreditat</t>
  </si>
  <si>
    <t>PNRR - ”Dotarea cu mobilier, materiale didactice și echipamente digitale al Centrului Școlar pentru Educație Incluzivă Satu Mare, a Centrului Judeţean de Resurse şi Asistenţă Educaţională Satu Mare și a Palatului Administrativ”</t>
  </si>
  <si>
    <t>Proiect PNRR "Dotari scoli"</t>
  </si>
  <si>
    <t>650250(03)</t>
  </si>
  <si>
    <t>Transport elevi cf. HG 435/2020</t>
  </si>
  <si>
    <t>Cheltuieli de capital Judetul Satu Mare</t>
  </si>
  <si>
    <t>650250(0201)</t>
  </si>
  <si>
    <t>66.02  Sănătate</t>
  </si>
  <si>
    <t>Spitalul Judeţean de Urgenţă Satu Mare</t>
  </si>
  <si>
    <t>66020601(01)</t>
  </si>
  <si>
    <t>dif suma de 10 mil lei si suma de 2,9 mil lei+suma alocata din BS pe investitii</t>
  </si>
  <si>
    <t>Spitalul Municipal Carei</t>
  </si>
  <si>
    <t>Spitalul Orăşenesc Negreşti-Oaş</t>
  </si>
  <si>
    <t>66020601(05)</t>
  </si>
  <si>
    <t>Spitalul de Pneumoftiziologie  Satu Mare</t>
  </si>
  <si>
    <t>66020601(04)</t>
  </si>
  <si>
    <t>anul 2023+suma din LBS</t>
  </si>
  <si>
    <t>Spitalul Orăşenesc Tăşnad</t>
  </si>
  <si>
    <t>Crucea Roşie Satu Mare</t>
  </si>
  <si>
    <t>Puncte de vaccinare împotriva COVID-19</t>
  </si>
  <si>
    <t>Cofinanţare cf. Prevederilor art. 190^5 din Legea nr. 95/2006 privind reforma în domeniul sănătăţii, cu modificările şi completările ulterioare</t>
  </si>
  <si>
    <t xml:space="preserve"> - Proiecte finanţate din fonduri externe nerambursabile aferente cadrului financiar 2014-2020, din care:</t>
  </si>
  <si>
    <t>„Life-Giving Water - way towards long-term access to health”, acronim „LIFE”</t>
  </si>
  <si>
    <t>ROHU-457 "ROcHUs - Care for health in Satu Mare and Szabolcs-Szatmár-Bereg counties"</t>
  </si>
  <si>
    <t>titl. 20 - comisioane bancare, cheltuieli cu bunuri si servicii</t>
  </si>
  <si>
    <t>titl. 55 - programe de dezvoltare</t>
  </si>
  <si>
    <t>titl. 58 - FEDR</t>
  </si>
  <si>
    <t>“Modernizare, extindere și dotare Unitate de Primiri Urgențe din cadrul Spitalului Județean de Urgență Satu Mare” - UPUSM</t>
  </si>
  <si>
    <t>titl. 58 - cheltuieli neeligibile</t>
  </si>
  <si>
    <t>Rambursare imprumut Trezoreria Statului cf. OUG nr.24/2023 
(alin. 8104)</t>
  </si>
  <si>
    <t>Rambursare imprumut Trezoreria Statului cf. OUG nr.92/2023 
(alin. 8104)</t>
  </si>
  <si>
    <t>Creșterea eficienței energetice a clădirii Spitalului Orășenesc Negrești Oaș (PNRR)</t>
  </si>
  <si>
    <t>cheltuieli neeligibile</t>
  </si>
  <si>
    <t>bunuri si servicii - titl. 20</t>
  </si>
  <si>
    <t>cheltuieli de capital - titl. 71</t>
  </si>
  <si>
    <t>Reabilitare, extindere și dotare Ambulatoriu de Specialitate Tășnad (PNRR)</t>
  </si>
  <si>
    <t>Reabilitare, extindere și dotare Ambulatoriu de Specialitate Tășnad</t>
  </si>
  <si>
    <t>ROHU 387 - „AVC- Added Value for Cooperation in Stroke Situations”</t>
  </si>
  <si>
    <t>titl. 20 - comisioane bancare</t>
  </si>
  <si>
    <t>Alte cheltuieli privind sănătatea - Judeţul Satu Mare</t>
  </si>
  <si>
    <t>66020601(03)</t>
  </si>
  <si>
    <t>67.02  Cultură, recreere şi religie (I+II+III+IV)</t>
  </si>
  <si>
    <t>I. Instituţii de cultură</t>
  </si>
  <si>
    <t>1. Muzeul Judeţean Satu Mare</t>
  </si>
  <si>
    <t>2. Şcoala de Arte Satu Mare</t>
  </si>
  <si>
    <t xml:space="preserve">3. Biblioteca Judeţeană Satu Mare </t>
  </si>
  <si>
    <t xml:space="preserve">4. Centrul Judeţean pentru Conservarea şi Promovarea Culturii Tradiţionale Satu Mare </t>
  </si>
  <si>
    <t xml:space="preserve">Centrul Judeţean pentru Conservarea şi Promovarea Culturii Tradiţionale Satu Mare </t>
  </si>
  <si>
    <t>Activităţi culturale, sportive şi de tineret de interes public judeţean</t>
  </si>
  <si>
    <t>5. Filarmonica Dinu Lipatti Satu Mare</t>
  </si>
  <si>
    <t>II. Alte servicii culturale</t>
  </si>
  <si>
    <t>Serviciul Public de Editare a Monitorului Oficial al Judeţului Satu Mare</t>
  </si>
  <si>
    <t>III. Transferuri instituţii spectacol</t>
  </si>
  <si>
    <t>1. Teatrul de Nord</t>
  </si>
  <si>
    <t>2. Filarmonica Dinu Lipatti</t>
  </si>
  <si>
    <t xml:space="preserve">II. Servicii religioase </t>
  </si>
  <si>
    <t>670206(01)</t>
  </si>
  <si>
    <t>V. Alte servicii religioase</t>
  </si>
  <si>
    <t>Secţiunea de functionare</t>
  </si>
  <si>
    <t>III. Activităţi culturale, sportive şi de tineret de interes public judeţean</t>
  </si>
  <si>
    <t>670250(02)</t>
  </si>
  <si>
    <t xml:space="preserve">IV. Easydoor – Easing Access to Systemic Discovery of Our Origins and Resources </t>
  </si>
  <si>
    <t>V. ,,Întărirea relaţiilor interculturale prin dezvoltarea instituţiilor culturale din judeţele Satu Mare şi Szabolcs-Szatmár-Bereg”, acronim CultuRO-Hub</t>
  </si>
  <si>
    <t>VIII. Cofinanţări proiecte finanţate din fonduri externe nerambursabile</t>
  </si>
  <si>
    <t>Festivalul Internaţional de Muzică Corală Religioasă "Pre Tine Te Lăudăm" ediţia a doua (Parohia Ortodoxă)</t>
  </si>
  <si>
    <t>Proiect de cooperare transfrontalieră iniţiat de către Parohia Reformată Tămăşeni întitulat "Home of youth, nature and affection" (Parohia Reformată Tămăşeni)</t>
  </si>
  <si>
    <t>Reţea de centre de informare culturală, religioasă şi ecologică  (Parohia Ortodoxă Păuleşti)</t>
  </si>
  <si>
    <t>„Tradiţii artistice. Model de învăţare non-formală în România şi Ucraina”  (Palatul Copiilor)</t>
  </si>
  <si>
    <t>IV. Cheltuieli de proiectare Judetul Satu Mare</t>
  </si>
  <si>
    <t>670250(05)</t>
  </si>
  <si>
    <t>X. Restituiri din anii precedenţi</t>
  </si>
  <si>
    <t>68.02  Asigurări şi asistenţă socială (I+II)</t>
  </si>
  <si>
    <t>I. Direcţia Generală de Asistenţă Socială şi Protecţia Copilului (1+2+3)</t>
  </si>
  <si>
    <t>1. Asistenta sociala pentru familie si copii</t>
  </si>
  <si>
    <t>OUG103/2013 - art20</t>
  </si>
  <si>
    <t>Plăți efectuate în anul curent</t>
  </si>
  <si>
    <t>Plăți efectuate în anii precedenți și recuperate în anul curent (Asistenta sociala pentru familie si copii)</t>
  </si>
  <si>
    <t>2. Asistenta sociala in caz de boli si invaliditati</t>
  </si>
  <si>
    <t>PNRR</t>
  </si>
  <si>
    <t>3. Asistenta acordata persoanelor in vârstă</t>
  </si>
  <si>
    <t>hg 23/2010</t>
  </si>
  <si>
    <t>Plăți efectuate în anii precedenți și recuperate în anul curent (Asistenta acordata persoanelor in vârstă)</t>
  </si>
  <si>
    <t>II. Judeţul Satu Mare</t>
  </si>
  <si>
    <t>Plăți efectuate în anul curent - Alte cheltuieli - Asociații și fundații</t>
  </si>
  <si>
    <t>Secţiunea de funcționare</t>
  </si>
  <si>
    <t>Cheltuieli pentru personalul din servicii sociale aflat în izolare preventivă la locul de muncă -  cf. HG 329/2020</t>
  </si>
  <si>
    <t>Partea a IV-a  SERVICII SI DEZVOLTARE PUBLICA, LOCUINTE, MEDIU SI APE</t>
  </si>
  <si>
    <t>70.02  Locuinţe, servicii şi dezvoltare publică</t>
  </si>
  <si>
    <t>Acordare ajutoare către alte unităţi administrativ-teritoriale din judetul Satu Mare în situaţii de extremă dificultate</t>
  </si>
  <si>
    <t>Consiliul Local Bogdand</t>
  </si>
  <si>
    <t>Consiliul Local Beltiug</t>
  </si>
  <si>
    <t>Consiliul Local Căuaş</t>
  </si>
  <si>
    <t>Consiliul Local Ciumeşti</t>
  </si>
  <si>
    <t>Consiliul Local Homoroade</t>
  </si>
  <si>
    <t>Consiliul Local Livada</t>
  </si>
  <si>
    <t>Acordare ajutoare către alte unităţi administrativ-teritoriale aflate în situaţii de extremă dificultate</t>
  </si>
  <si>
    <t>Judeţul Vrancea</t>
  </si>
  <si>
    <t>Judeţul Buzău</t>
  </si>
  <si>
    <t>Judeţul Ialomiţa</t>
  </si>
  <si>
    <t xml:space="preserve">Alte servicii în domeniile locuintelor, serviciilor si dezvoltarii comunale </t>
  </si>
  <si>
    <t>Finanţări programe de dezvoltare locală şi proiecte care necesită cofinanţare locală - unităţi administrativ teritoriale - sume destinate acoperirii cheltuielilor legate de contractarea unor credite destinate finanţării proiectelor FEN postaderare</t>
  </si>
  <si>
    <r>
      <rPr>
        <b/>
        <sz val="10"/>
        <color theme="1"/>
        <rFont val="Arial"/>
        <family val="2"/>
      </rPr>
      <t xml:space="preserve">Comuna Andrid </t>
    </r>
    <r>
      <rPr>
        <sz val="10"/>
        <color theme="1"/>
        <rFont val="Arial"/>
        <family val="2"/>
      </rPr>
      <t>- "Reabilitare infrastructura in com.Andrid,Jud.Satu Mare""-masura 322</t>
    </r>
  </si>
  <si>
    <r>
      <rPr>
        <b/>
        <sz val="10"/>
        <color theme="1"/>
        <rFont val="Arial"/>
        <family val="2"/>
      </rPr>
      <t>Comuna Culciu</t>
    </r>
    <r>
      <rPr>
        <sz val="10"/>
        <color theme="1"/>
        <rFont val="Arial"/>
        <family val="2"/>
      </rPr>
      <t xml:space="preserve"> - "Cooperare fructuoasa pe piata muncii"</t>
    </r>
  </si>
  <si>
    <r>
      <rPr>
        <b/>
        <sz val="10"/>
        <color theme="1"/>
        <rFont val="Arial"/>
        <family val="2"/>
      </rPr>
      <t xml:space="preserve">Comuna Dorolţ </t>
    </r>
    <r>
      <rPr>
        <sz val="10"/>
        <color theme="1"/>
        <rFont val="Arial"/>
        <family val="2"/>
      </rPr>
      <t>-  "Proiect integrat pentru infrastructura,cultura si serviciisociale in Com.Dorolt"-masura 322</t>
    </r>
  </si>
  <si>
    <r>
      <rPr>
        <b/>
        <sz val="10"/>
        <color theme="1"/>
        <rFont val="Arial"/>
        <family val="2"/>
      </rPr>
      <t>Comuna Micula</t>
    </r>
    <r>
      <rPr>
        <sz val="10"/>
        <color theme="1"/>
        <rFont val="Arial"/>
        <family val="2"/>
      </rPr>
      <t xml:space="preserve"> - "Proiect integrat in com.Micula"-masura 322</t>
    </r>
  </si>
  <si>
    <r>
      <rPr>
        <b/>
        <sz val="10"/>
        <color theme="1"/>
        <rFont val="Arial"/>
        <family val="2"/>
      </rPr>
      <t>Comuna Săcăşeni</t>
    </r>
    <r>
      <rPr>
        <sz val="10"/>
        <color theme="1"/>
        <rFont val="Arial"/>
        <family val="2"/>
      </rPr>
      <t xml:space="preserve"> - "Alimentare cu apa a loc.Sacaseni,Chegea,canalizare menajera si statie de epurare a loc.Sacaseni si Chegea,drum comunal in loc.Sacaseni,reabilitare si dotare camine culturale"-masura 322</t>
    </r>
  </si>
  <si>
    <r>
      <rPr>
        <b/>
        <sz val="10"/>
        <color theme="1"/>
        <rFont val="Arial"/>
        <family val="2"/>
      </rPr>
      <t>Comuna Urziceni</t>
    </r>
    <r>
      <rPr>
        <sz val="10"/>
        <color theme="1"/>
        <rFont val="Arial"/>
        <family val="2"/>
      </rPr>
      <t xml:space="preserve"> - "Drum comunal Urziceni-Urziceni Padure, reabilitare camine culturale si infiintare after school in loc.Urziceni"-masura 322</t>
    </r>
  </si>
  <si>
    <t>Bogdand - alunecari teren</t>
  </si>
  <si>
    <t>Medieşu Aurit - proiect „Modernizare drumuri comunale şi străzi, reţele publice de apă şi canalizare în localitatea Medieşu Aurit, modernizare şi dotare cămine culturale din Medieşu Aurit, Potău şi Băbăşeşti, comuna Medieşu Aurit, judeţul Satu Mare”</t>
  </si>
  <si>
    <t>Petreşti - proiect „Îmbunătăţirea infrastucturii prin înfiinţarea de reţele de apă şi apă uzată, dezvoltarea serviciilor prin amenajarea zonei de agrement şi sport microregional în com. Petreşti, jud. Satu Mare”</t>
  </si>
  <si>
    <t>Crucişor - "Proiect integrat reţea de canalizare menajeră şi statie de epurare Poiana Codrului, modernizarea străzilor pe vale Poiana Codrului şi Moara Borsii-Valasut Crucişor"</t>
  </si>
  <si>
    <t>Berveni -proiect "Serviciu transfrontalier operaţional de prevenire a situaţiilor de urgenţă - Fire Man - HURO/0901/168/2.4.2"</t>
  </si>
  <si>
    <t>Angajament Doba - finanţare cf. HCJSM 91/2010</t>
  </si>
  <si>
    <t>Cheltuieli de proiectare</t>
  </si>
  <si>
    <t>„Mitigating the negative effects of hail in Satu Mare county”, cod ROHU-102, acronim SILVER</t>
  </si>
  <si>
    <t>700250(02)</t>
  </si>
  <si>
    <t>titl. 20</t>
  </si>
  <si>
    <t>700250(01)</t>
  </si>
  <si>
    <t>74.02  Protecţia mediului</t>
  </si>
  <si>
    <t>Cofinanţarea proiectului “Managementul Regional al Deşeurilor  Urbane şi Ecologizarea Rampelor de Deşeuri în judeţul Satu Mare”</t>
  </si>
  <si>
    <t>7402050201</t>
  </si>
  <si>
    <t>Proiect PNRR "Microbuze electrice pentru elevii din judetul Satu Mare"</t>
  </si>
  <si>
    <t>Cheltuieli de capital Judetul Satu Mare - microbuze AFM</t>
  </si>
  <si>
    <t>,,Green Cross-border Region”, acronim GCBR</t>
  </si>
  <si>
    <t>7402050203</t>
  </si>
  <si>
    <t>Climate Synergy</t>
  </si>
  <si>
    <t>Partea a V-a ACTIUNI ECONOMICE</t>
  </si>
  <si>
    <t>83.02  Agricultură, silvicultură, piscicultură şi vânătoare</t>
  </si>
  <si>
    <t>Camera Agricolă Judeţeană Satu Mare</t>
  </si>
  <si>
    <t>84.02  Transporturi</t>
  </si>
  <si>
    <t>1. Transport rutier</t>
  </si>
  <si>
    <t>Drumuri si poduri</t>
  </si>
  <si>
    <t xml:space="preserve"> - drumuri şi poduri</t>
  </si>
  <si>
    <t xml:space="preserve"> - întreținere drumuri</t>
  </si>
  <si>
    <t xml:space="preserve"> - alte cheltuieli cu servicii</t>
  </si>
  <si>
    <t xml:space="preserve"> - rambursări de credite</t>
  </si>
  <si>
    <t xml:space="preserve"> - restituiri din anii anteriori (sectiunea de functionare)</t>
  </si>
  <si>
    <t xml:space="preserve"> - cheltuieli de capital</t>
  </si>
  <si>
    <t xml:space="preserve"> - alte transferuri</t>
  </si>
  <si>
    <t xml:space="preserve"> - restituiri din anii anteriori (sectiunea de dezvoltare)</t>
  </si>
  <si>
    <t>84020301</t>
  </si>
  <si>
    <t>"Creșterea siguranței traficului pe drumurile județene în județul Satu Mare – iluminarea trecerilor de pietoni", Cod SMIS 319093 (titl.56)</t>
  </si>
  <si>
    <t>“Modernizarea drumurilor județene DJ 108R din DN 19A Beltiug – Beltiug Băi – Dobra – Hurezu Mare – DJ 108P – DJ 196 Corund – Bogdand – Hodod – limita de județ Sălaj”, POR 2014-2020</t>
  </si>
  <si>
    <t>Rambursare imprumut Trezoreria Statului cf. OUG nr.92/2023 
(art. 8104)</t>
  </si>
  <si>
    <t>„Development and modernization of the access infrastructure to the Romanian- Ukrainian border crossing point from Tarna Mare - Hyzha”, depus în cadrul Programului ENI CBC 2014-2020 Ungaria–Slovacia–România–Ucraina (cofinanțare cf. HCJSM nr. 216/2017)</t>
  </si>
  <si>
    <t>titl. 58 - ENI</t>
  </si>
  <si>
    <t>Modernizare DJ 193 Satu Mare - Borlesti - Limita de judet Maramures, km 1-300 - 41+300 (titl. 56)</t>
  </si>
  <si>
    <t xml:space="preserve"> - Proiect HODOD - Proiect AFM - "Îmbunătăţirea calităţii mediului prin înlăturarea efectelor produse de alunecările de teren în localitatea Hodod, judeţul Satu Mare"</t>
  </si>
  <si>
    <t>Rambursări de credite aferente proiecte FEN postaderare</t>
  </si>
  <si>
    <t xml:space="preserve">2. Transport aerian </t>
  </si>
  <si>
    <t>Aviatia civila</t>
  </si>
  <si>
    <t>87.02 Alte acţiuni economice</t>
  </si>
  <si>
    <t>Dezvoltarea  Zonei Turistice Luna Ses</t>
  </si>
  <si>
    <t>870250(02)</t>
  </si>
  <si>
    <t>Investiţii la obiectivul "Parc Balnear Beltiug"</t>
  </si>
  <si>
    <t>Proiecte de dezvoltare multifunctionale - X-Building</t>
  </si>
  <si>
    <t>Proiecte FEN postaderare - X Buliding</t>
  </si>
  <si>
    <t>Secţiunie de dezvoltare</t>
  </si>
  <si>
    <t>EXCEDENT/DEFICIT (TOTAL)</t>
  </si>
  <si>
    <t>EXCEDENT</t>
  </si>
  <si>
    <t>DEFICIT</t>
  </si>
  <si>
    <t>Excedent</t>
  </si>
  <si>
    <t>Deficit</t>
  </si>
  <si>
    <t>Red/Tehn. VE</t>
  </si>
  <si>
    <t>JUDEŢUL SATU MARE</t>
  </si>
  <si>
    <t>Consiliul Judeţean Satu Mare</t>
  </si>
  <si>
    <t>cultura</t>
  </si>
  <si>
    <t>CJSM</t>
  </si>
  <si>
    <t>evidenta persoanei</t>
  </si>
  <si>
    <t>filarmonica</t>
  </si>
  <si>
    <t>muzeu</t>
  </si>
  <si>
    <t>Traditie</t>
  </si>
  <si>
    <t>Scoala de arte</t>
  </si>
  <si>
    <t>dexeuri</t>
  </si>
  <si>
    <t>spit NO</t>
  </si>
  <si>
    <t>pneu</t>
  </si>
  <si>
    <t>inv</t>
  </si>
  <si>
    <t>copii</t>
  </si>
  <si>
    <t>teatru+filarmonica</t>
  </si>
  <si>
    <t>nok</t>
  </si>
  <si>
    <t>ok</t>
  </si>
  <si>
    <t>din care CJ</t>
  </si>
  <si>
    <t>Municipiul Satu Mare, Negresti</t>
  </si>
  <si>
    <t>trans BS BL aparatura med</t>
  </si>
  <si>
    <t>SF</t>
  </si>
  <si>
    <t>SD</t>
  </si>
  <si>
    <t xml:space="preserve">Cheltuieli curente   (rd.25 la rd.34)                        </t>
  </si>
  <si>
    <t>Proiecte cu finantare din Fonduri externe nerambursabile postaderare</t>
  </si>
  <si>
    <r>
      <rPr>
        <sz val="9"/>
        <color theme="1"/>
        <rFont val="Arial"/>
        <family val="2"/>
      </rPr>
      <t xml:space="preserve">EXCEDENT(+)/DEFICIT(-)  </t>
    </r>
    <r>
      <rPr>
        <vertAlign val="superscript"/>
        <sz val="10"/>
        <color theme="1"/>
        <rFont val="Arial"/>
        <family val="2"/>
      </rPr>
      <t>1)</t>
    </r>
    <r>
      <rPr>
        <sz val="10"/>
        <color theme="1"/>
        <rFont val="Arial"/>
        <family val="2"/>
      </rPr>
      <t xml:space="preserve"> </t>
    </r>
    <r>
      <rPr>
        <sz val="9"/>
        <color theme="1"/>
        <rFont val="Arial"/>
        <family val="2"/>
      </rPr>
      <t xml:space="preserve">                                                               (rd.01-rd.23)   </t>
    </r>
  </si>
  <si>
    <t>7402050204</t>
  </si>
  <si>
    <t>43.02.49</t>
  </si>
  <si>
    <t>43.02.49.01</t>
  </si>
  <si>
    <t>43.02.49.02</t>
  </si>
  <si>
    <t>43.02.49.03</t>
  </si>
  <si>
    <t>PE ANUL 2025</t>
  </si>
  <si>
    <r>
      <t xml:space="preserve">VENITURI  TOTAL  </t>
    </r>
    <r>
      <rPr>
        <b/>
        <sz val="8"/>
        <rFont val="Arial"/>
        <family val="2"/>
      </rPr>
      <t xml:space="preserve">(rd.02+18+19+20+23)     </t>
    </r>
    <r>
      <rPr>
        <b/>
        <sz val="9"/>
        <rFont val="Arial"/>
        <family val="2"/>
      </rPr>
      <t xml:space="preserve">            </t>
    </r>
  </si>
  <si>
    <r>
      <t xml:space="preserve">Venituri curente   </t>
    </r>
    <r>
      <rPr>
        <sz val="8"/>
        <rFont val="Arial"/>
        <family val="2"/>
      </rPr>
      <t xml:space="preserve">(rd.03+17)  </t>
    </r>
    <r>
      <rPr>
        <sz val="9"/>
        <rFont val="Arial"/>
        <family val="2"/>
      </rPr>
      <t xml:space="preserve">                     </t>
    </r>
  </si>
  <si>
    <r>
      <t xml:space="preserve">Venituri fiscale  </t>
    </r>
    <r>
      <rPr>
        <sz val="8"/>
        <rFont val="Arial"/>
        <family val="2"/>
      </rPr>
      <t>(rd.04+06+09+10+11+16)</t>
    </r>
    <r>
      <rPr>
        <sz val="9"/>
        <rFont val="Arial"/>
        <family val="2"/>
      </rPr>
      <t xml:space="preserve">                        </t>
    </r>
  </si>
  <si>
    <r>
      <t xml:space="preserve">Impozite si taxe pe bunuri si servicii   </t>
    </r>
    <r>
      <rPr>
        <sz val="8"/>
        <rFont val="Arial"/>
        <family val="2"/>
      </rPr>
      <t xml:space="preserve">(rd.12 la rd.15)    </t>
    </r>
    <r>
      <rPr>
        <sz val="9"/>
        <rFont val="Arial"/>
        <family val="2"/>
      </rPr>
      <t xml:space="preserve">           </t>
    </r>
  </si>
  <si>
    <r>
      <t xml:space="preserve">Cheltuieli curente   </t>
    </r>
    <r>
      <rPr>
        <i/>
        <sz val="8"/>
        <rFont val="Arial"/>
        <family val="2"/>
      </rPr>
      <t xml:space="preserve">(rd.25 la rd.34)  </t>
    </r>
    <r>
      <rPr>
        <i/>
        <sz val="9"/>
        <rFont val="Arial"/>
        <family val="2"/>
      </rPr>
      <t xml:space="preserve">                      </t>
    </r>
  </si>
  <si>
    <r>
      <t xml:space="preserve">EXCEDENT(+)/DEFICIT(-)  </t>
    </r>
    <r>
      <rPr>
        <i/>
        <vertAlign val="superscript"/>
        <sz val="10"/>
        <rFont val="Arial"/>
        <family val="2"/>
      </rPr>
      <t>1)</t>
    </r>
    <r>
      <rPr>
        <i/>
        <sz val="10"/>
        <rFont val="Arial"/>
        <family val="2"/>
      </rPr>
      <t xml:space="preserve"> </t>
    </r>
    <r>
      <rPr>
        <i/>
        <sz val="9"/>
        <rFont val="Arial"/>
        <family val="2"/>
      </rPr>
      <t xml:space="preserve">                                                               (rd.01-rd.23)   </t>
    </r>
  </si>
  <si>
    <r>
      <t xml:space="preserve">               </t>
    </r>
    <r>
      <rPr>
        <vertAlign val="superscript"/>
        <sz val="9"/>
        <rFont val="Arial"/>
        <family val="2"/>
      </rPr>
      <t>1)</t>
    </r>
    <r>
      <rPr>
        <sz val="9"/>
        <rFont val="Arial"/>
        <family val="2"/>
      </rPr>
      <t xml:space="preserve"> deficit finantat din excedentul anilor precedenti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</si>
</sst>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_);\(#,##0.0\)"/>
    <numFmt numFmtId="165" formatCode="0.0"/>
    <numFmt numFmtId="166" formatCode="0.0%"/>
    <numFmt numFmtId="167" formatCode="yy\,mm\,dd"/>
    <numFmt numFmtId="168" formatCode="#,##0.0"/>
    <numFmt numFmtId="169" formatCode="#,###.##000"/>
  </numFmts>
  <fonts count="99">
    <font>
      <sz val="10"/>
      <color rgb="FF000000"/>
      <name val="Arial"/>
      <charset val="134"/>
    </font>
    <font>
      <sz val="11"/>
      <color theme="1"/>
      <name val="Calibri"/>
      <family val="2"/>
      <charset val="238"/>
      <scheme val="minor"/>
    </font>
    <font>
      <b/>
      <sz val="10"/>
      <color rgb="FF000000"/>
      <name val="Arial"/>
      <family val="2"/>
    </font>
    <font>
      <i/>
      <sz val="10"/>
      <color rgb="FF000000"/>
      <name val="Arial"/>
      <family val="2"/>
    </font>
    <font>
      <b/>
      <sz val="9"/>
      <color theme="1"/>
      <name val="Arial"/>
      <family val="2"/>
    </font>
    <font>
      <sz val="9"/>
      <color theme="1"/>
      <name val="Arial"/>
      <family val="2"/>
    </font>
    <font>
      <sz val="10"/>
      <color theme="1"/>
      <name val="Arial"/>
      <family val="2"/>
    </font>
    <font>
      <sz val="11"/>
      <color theme="1"/>
      <name val="Calibri"/>
      <family val="2"/>
    </font>
    <font>
      <b/>
      <i/>
      <sz val="11"/>
      <color theme="1"/>
      <name val="Calibri"/>
      <family val="2"/>
    </font>
    <font>
      <b/>
      <sz val="10"/>
      <color theme="1"/>
      <name val="Arial"/>
      <family val="2"/>
    </font>
    <font>
      <sz val="10"/>
      <name val="Arial"/>
      <family val="2"/>
    </font>
    <font>
      <b/>
      <sz val="11"/>
      <color theme="1"/>
      <name val="Calibri"/>
      <family val="2"/>
    </font>
    <font>
      <sz val="8"/>
      <color theme="1"/>
      <name val="Arial"/>
      <family val="2"/>
    </font>
    <font>
      <b/>
      <sz val="11"/>
      <color rgb="FFFF0000"/>
      <name val="Calibri"/>
      <family val="2"/>
    </font>
    <font>
      <b/>
      <sz val="8"/>
      <color theme="1"/>
      <name val="Arial"/>
      <family val="2"/>
    </font>
    <font>
      <sz val="9"/>
      <color rgb="FFFF0000"/>
      <name val="Arial"/>
      <family val="2"/>
    </font>
    <font>
      <sz val="8"/>
      <color rgb="FFFF0000"/>
      <name val="Arial"/>
      <family val="2"/>
    </font>
    <font>
      <sz val="10"/>
      <color rgb="FFFF0000"/>
      <name val="Arial"/>
      <family val="2"/>
    </font>
    <font>
      <sz val="11"/>
      <color rgb="FFFF0000"/>
      <name val="Calibri"/>
      <family val="2"/>
    </font>
    <font>
      <b/>
      <sz val="11"/>
      <color theme="1"/>
      <name val="Calibri"/>
      <family val="2"/>
    </font>
    <font>
      <b/>
      <i/>
      <sz val="11"/>
      <color theme="1"/>
      <name val="Calibri"/>
      <family val="2"/>
    </font>
    <font>
      <i/>
      <sz val="11"/>
      <color theme="1"/>
      <name val="Calibri"/>
      <family val="2"/>
    </font>
    <font>
      <i/>
      <sz val="9"/>
      <color theme="1"/>
      <name val="Arial"/>
      <family val="2"/>
    </font>
    <font>
      <sz val="11"/>
      <color rgb="FF333399"/>
      <name val="Calibri"/>
      <family val="2"/>
    </font>
    <font>
      <sz val="10"/>
      <color theme="4"/>
      <name val="Arial"/>
      <family val="2"/>
    </font>
    <font>
      <sz val="9"/>
      <color rgb="FF000000"/>
      <name val="Arial"/>
      <family val="2"/>
    </font>
    <font>
      <sz val="10"/>
      <color rgb="FF000000"/>
      <name val="Arial"/>
      <family val="2"/>
    </font>
    <font>
      <b/>
      <sz val="10"/>
      <name val="Arial"/>
      <family val="2"/>
    </font>
    <font>
      <sz val="9"/>
      <name val="Arial"/>
      <family val="2"/>
    </font>
    <font>
      <sz val="10"/>
      <color rgb="FFFFFFFF"/>
      <name val="Arial"/>
      <family val="2"/>
    </font>
    <font>
      <b/>
      <sz val="9"/>
      <name val="Arial"/>
      <family val="2"/>
    </font>
    <font>
      <b/>
      <sz val="10"/>
      <name val="Arial"/>
      <family val="2"/>
    </font>
    <font>
      <sz val="10"/>
      <name val="Arial"/>
      <family val="2"/>
    </font>
    <font>
      <i/>
      <sz val="10"/>
      <color theme="1"/>
      <name val="Arial"/>
      <family val="2"/>
    </font>
    <font>
      <b/>
      <i/>
      <sz val="10"/>
      <color theme="1"/>
      <name val="Arial"/>
      <family val="2"/>
    </font>
    <font>
      <b/>
      <i/>
      <sz val="10"/>
      <name val="Arial"/>
      <family val="2"/>
    </font>
    <font>
      <u/>
      <sz val="10"/>
      <name val="Arial"/>
      <family val="2"/>
    </font>
    <font>
      <i/>
      <sz val="10"/>
      <name val="Arial"/>
      <family val="2"/>
    </font>
    <font>
      <i/>
      <sz val="10"/>
      <name val="Arial"/>
      <family val="2"/>
    </font>
    <font>
      <b/>
      <sz val="10"/>
      <color rgb="FF0000FF"/>
      <name val="Arial"/>
      <family val="2"/>
    </font>
    <font>
      <b/>
      <sz val="10"/>
      <color rgb="FFFF0000"/>
      <name val="Arial"/>
      <family val="2"/>
    </font>
    <font>
      <i/>
      <sz val="10"/>
      <color rgb="FFFF0000"/>
      <name val="Arial"/>
      <family val="2"/>
    </font>
    <font>
      <sz val="10"/>
      <color rgb="FFFF0000"/>
      <name val="Arial"/>
      <family val="2"/>
    </font>
    <font>
      <b/>
      <sz val="10"/>
      <color theme="8" tint="-0.499984740745262"/>
      <name val="Arial"/>
      <family val="2"/>
    </font>
    <font>
      <sz val="9"/>
      <color theme="8" tint="-0.499984740745262"/>
      <name val="Arial"/>
      <family val="2"/>
    </font>
    <font>
      <b/>
      <sz val="10"/>
      <color theme="4"/>
      <name val="Arial"/>
      <family val="2"/>
    </font>
    <font>
      <sz val="10"/>
      <color theme="8" tint="-0.499984740745262"/>
      <name val="Arial"/>
      <family val="2"/>
    </font>
    <font>
      <sz val="10"/>
      <color rgb="FF0000FF"/>
      <name val="Arial"/>
      <family val="2"/>
    </font>
    <font>
      <sz val="10"/>
      <color rgb="FFFF0000"/>
      <name val="Arial"/>
      <family val="2"/>
    </font>
    <font>
      <i/>
      <sz val="9"/>
      <name val="Arial"/>
      <family val="2"/>
    </font>
    <font>
      <sz val="11"/>
      <name val="Calibri"/>
      <family val="2"/>
    </font>
    <font>
      <b/>
      <sz val="9"/>
      <name val="Arial"/>
      <family val="2"/>
    </font>
    <font>
      <b/>
      <i/>
      <sz val="9"/>
      <name val="Arial"/>
      <family val="2"/>
    </font>
    <font>
      <i/>
      <sz val="9"/>
      <color rgb="FFFF0000"/>
      <name val="Arial"/>
      <family val="2"/>
    </font>
    <font>
      <i/>
      <sz val="9"/>
      <name val="Arial"/>
      <family val="2"/>
    </font>
    <font>
      <sz val="9"/>
      <name val="Arial"/>
      <family val="2"/>
    </font>
    <font>
      <b/>
      <i/>
      <sz val="10"/>
      <name val="Arial"/>
      <family val="2"/>
    </font>
    <font>
      <sz val="10"/>
      <color theme="3"/>
      <name val="Arial"/>
      <family val="2"/>
    </font>
    <font>
      <b/>
      <i/>
      <sz val="9"/>
      <color theme="1"/>
      <name val="Arial"/>
      <family val="2"/>
    </font>
    <font>
      <sz val="11"/>
      <color rgb="FF993300"/>
      <name val="Calibri"/>
      <family val="2"/>
    </font>
    <font>
      <sz val="8"/>
      <name val="Arial"/>
      <family val="2"/>
    </font>
    <font>
      <sz val="10"/>
      <name val="Times New Roman CE"/>
      <charset val="134"/>
    </font>
    <font>
      <sz val="11"/>
      <color theme="1"/>
      <name val="Calibri"/>
      <family val="2"/>
      <scheme val="minor"/>
    </font>
    <font>
      <vertAlign val="superscript"/>
      <sz val="10"/>
      <color theme="1"/>
      <name val="Arial"/>
      <family val="2"/>
    </font>
    <font>
      <vertAlign val="superscript"/>
      <sz val="9"/>
      <color theme="1"/>
      <name val="Arial"/>
      <family val="2"/>
    </font>
    <font>
      <b/>
      <sz val="9"/>
      <name val="Tahoma"/>
      <family val="2"/>
    </font>
    <font>
      <sz val="9"/>
      <name val="Tahoma"/>
      <family val="2"/>
    </font>
    <font>
      <sz val="18"/>
      <color theme="3"/>
      <name val="Calibri"/>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57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1"/>
      <color rgb="FFFF0000"/>
      <name val="Calibri"/>
      <family val="2"/>
      <charset val="238"/>
    </font>
    <font>
      <b/>
      <i/>
      <sz val="11"/>
      <color rgb="FFFF0000"/>
      <name val="Calibri"/>
      <family val="2"/>
      <charset val="238"/>
    </font>
    <font>
      <sz val="10"/>
      <color rgb="FFFF0000"/>
      <name val="Arial"/>
      <family val="2"/>
      <charset val="238"/>
    </font>
    <font>
      <b/>
      <sz val="11"/>
      <color rgb="FFFF0000"/>
      <name val="Calibri"/>
      <family val="2"/>
      <charset val="238"/>
    </font>
    <font>
      <i/>
      <sz val="11"/>
      <color rgb="FFFF0000"/>
      <name val="Calibri"/>
      <family val="2"/>
      <charset val="238"/>
    </font>
    <font>
      <sz val="11"/>
      <name val="Calibri"/>
      <family val="2"/>
      <charset val="238"/>
    </font>
    <font>
      <b/>
      <sz val="11"/>
      <name val="Calibri"/>
      <family val="2"/>
      <charset val="238"/>
    </font>
    <font>
      <i/>
      <sz val="11"/>
      <name val="Calibri"/>
      <family val="2"/>
      <charset val="238"/>
    </font>
    <font>
      <sz val="10"/>
      <name val="Arial"/>
      <family val="2"/>
      <charset val="238"/>
    </font>
    <font>
      <b/>
      <sz val="10"/>
      <name val="Arial"/>
      <family val="2"/>
      <charset val="238"/>
    </font>
    <font>
      <sz val="11"/>
      <color rgb="FF000000"/>
      <name val="Calibri"/>
      <family val="2"/>
      <charset val="238"/>
      <scheme val="minor"/>
    </font>
    <font>
      <b/>
      <sz val="8"/>
      <name val="Arial"/>
      <family val="2"/>
    </font>
    <font>
      <i/>
      <sz val="8"/>
      <name val="Arial"/>
      <family val="2"/>
    </font>
    <font>
      <i/>
      <vertAlign val="superscript"/>
      <sz val="10"/>
      <name val="Arial"/>
      <family val="2"/>
    </font>
    <font>
      <vertAlign val="superscript"/>
      <sz val="9"/>
      <name val="Arial"/>
      <family val="2"/>
    </font>
    <font>
      <b/>
      <u/>
      <sz val="9"/>
      <name val="Arial"/>
      <family val="2"/>
    </font>
  </fonts>
  <fills count="48">
    <fill>
      <patternFill patternType="none"/>
    </fill>
    <fill>
      <patternFill patternType="gray125"/>
    </fill>
    <fill>
      <patternFill patternType="solid">
        <fgColor rgb="FFFFFFCC"/>
        <bgColor rgb="FFFFFFCC"/>
      </patternFill>
    </fill>
    <fill>
      <patternFill patternType="solid">
        <fgColor rgb="FFCCCCFF"/>
        <bgColor rgb="FFCCCCFF"/>
      </patternFill>
    </fill>
    <fill>
      <patternFill patternType="solid">
        <fgColor rgb="FFCCFFCC"/>
        <bgColor rgb="FFCCFFCC"/>
      </patternFill>
    </fill>
    <fill>
      <patternFill patternType="solid">
        <fgColor rgb="FFFFCC99"/>
        <bgColor rgb="FFFFCC99"/>
      </patternFill>
    </fill>
    <fill>
      <patternFill patternType="solid">
        <fgColor rgb="FFFFFF00"/>
        <bgColor indexed="64"/>
      </patternFill>
    </fill>
    <fill>
      <patternFill patternType="solid">
        <fgColor rgb="FFFFFF99"/>
        <bgColor rgb="FFFFFF99"/>
      </patternFill>
    </fill>
    <fill>
      <patternFill patternType="solid">
        <fgColor theme="6"/>
        <bgColor indexed="64"/>
      </patternFill>
    </fill>
    <fill>
      <patternFill patternType="solid">
        <fgColor rgb="FFEAF1DD"/>
        <bgColor rgb="FFEAF1DD"/>
      </patternFill>
    </fill>
    <fill>
      <patternFill patternType="solid">
        <fgColor rgb="FFFFCC00"/>
        <bgColor rgb="FFFFCC00"/>
      </patternFill>
    </fill>
    <fill>
      <patternFill patternType="solid">
        <fgColor rgb="FFFF99CC"/>
        <bgColor rgb="FFFF99CC"/>
      </patternFill>
    </fill>
    <fill>
      <patternFill patternType="solid">
        <fgColor rgb="FF0066CC"/>
        <bgColor rgb="FF0066CC"/>
      </patternFill>
    </fill>
    <fill>
      <patternFill patternType="solid">
        <fgColor rgb="FFFFFF00"/>
        <bgColor rgb="FFFFFF00"/>
      </patternFill>
    </fill>
    <fill>
      <patternFill patternType="solid">
        <fgColor theme="2" tint="-4.9989318521683403E-2"/>
        <bgColor indexed="64"/>
      </patternFill>
    </fill>
    <fill>
      <patternFill patternType="solid">
        <fgColor theme="0" tint="-4.9989318521683403E-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79">
    <border>
      <left/>
      <right/>
      <top/>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right/>
      <top/>
      <bottom style="thin">
        <color rgb="FF000000"/>
      </bottom>
      <diagonal/>
    </border>
    <border>
      <left/>
      <right style="thin">
        <color rgb="FFC0C0C0"/>
      </right>
      <top/>
      <bottom style="thin">
        <color rgb="FF000000"/>
      </bottom>
      <diagonal/>
    </border>
    <border>
      <left style="medium">
        <color rgb="FF000000"/>
      </left>
      <right/>
      <top/>
      <bottom style="thin">
        <color rgb="FF000000"/>
      </bottom>
      <diagonal/>
    </border>
    <border>
      <left style="thin">
        <color rgb="FF000000"/>
      </left>
      <right style="thin">
        <color rgb="FF000000"/>
      </right>
      <top/>
      <bottom style="thin">
        <color rgb="FF000000"/>
      </bottom>
      <diagonal/>
    </border>
    <border>
      <left style="medium">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C0C0C0"/>
      </left>
      <right style="thin">
        <color rgb="FFC0C0C0"/>
      </right>
      <top style="thin">
        <color rgb="FFC0C0C0"/>
      </top>
      <bottom style="thin">
        <color rgb="FFC0C0C0"/>
      </bottom>
      <diagonal/>
    </border>
    <border>
      <left style="thin">
        <color rgb="FF808080"/>
      </left>
      <right style="thin">
        <color rgb="FF808080"/>
      </right>
      <top style="thin">
        <color rgb="FF808080"/>
      </top>
      <bottom style="thin">
        <color rgb="FF808080"/>
      </bottom>
      <diagonal/>
    </border>
    <border>
      <left style="thin">
        <color rgb="FFC0C0C0"/>
      </left>
      <right style="thin">
        <color rgb="FFC0C0C0"/>
      </right>
      <top style="thin">
        <color rgb="FFC0C0C0"/>
      </top>
      <bottom/>
      <diagonal/>
    </border>
    <border>
      <left style="thin">
        <color rgb="FFC0C0C0"/>
      </left>
      <right style="thin">
        <color rgb="FFC0C0C0"/>
      </right>
      <top/>
      <bottom style="thin">
        <color rgb="FFC0C0C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double">
        <color rgb="FF000000"/>
      </bottom>
      <diagonal/>
    </border>
    <border>
      <left/>
      <right/>
      <top style="medium">
        <color rgb="FF000000"/>
      </top>
      <bottom style="double">
        <color rgb="FF000000"/>
      </bottom>
      <diagonal/>
    </border>
    <border>
      <left/>
      <right style="thin">
        <color rgb="FF000000"/>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right style="medium">
        <color rgb="FF000000"/>
      </right>
      <top style="medium">
        <color rgb="FF000000"/>
      </top>
      <bottom style="double">
        <color rgb="FF000000"/>
      </bottom>
      <diagonal/>
    </border>
    <border>
      <left style="medium">
        <color rgb="FF000000"/>
      </left>
      <right/>
      <top style="double">
        <color rgb="FF000000"/>
      </top>
      <bottom style="hair">
        <color rgb="FF000000"/>
      </bottom>
      <diagonal/>
    </border>
    <border>
      <left/>
      <right/>
      <top style="double">
        <color rgb="FF000000"/>
      </top>
      <bottom style="hair">
        <color rgb="FF000000"/>
      </bottom>
      <diagonal/>
    </border>
    <border>
      <left/>
      <right style="hair">
        <color rgb="FF000000"/>
      </right>
      <top style="double">
        <color rgb="FF000000"/>
      </top>
      <bottom style="hair">
        <color rgb="FF000000"/>
      </bottom>
      <diagonal/>
    </border>
    <border>
      <left style="hair">
        <color rgb="FF000000"/>
      </left>
      <right style="hair">
        <color rgb="FF000000"/>
      </right>
      <top style="double">
        <color rgb="FF000000"/>
      </top>
      <bottom style="hair">
        <color rgb="FF000000"/>
      </bottom>
      <diagonal/>
    </border>
    <border>
      <left/>
      <right style="medium">
        <color rgb="FF000000"/>
      </right>
      <top style="double">
        <color rgb="FF000000"/>
      </top>
      <bottom style="hair">
        <color rgb="FF000000"/>
      </bottom>
      <diagonal/>
    </border>
    <border>
      <left style="medium">
        <color rgb="FF000000"/>
      </left>
      <right/>
      <top style="hair">
        <color rgb="FF000000"/>
      </top>
      <bottom style="hair">
        <color rgb="FF000000"/>
      </bottom>
      <diagonal/>
    </border>
    <border>
      <left/>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right style="medium">
        <color rgb="FF000000"/>
      </right>
      <top style="hair">
        <color rgb="FF000000"/>
      </top>
      <bottom style="hair">
        <color rgb="FF000000"/>
      </bottom>
      <diagonal/>
    </border>
    <border>
      <left/>
      <right style="thin">
        <color rgb="FF000000"/>
      </right>
      <top style="hair">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hair">
        <color rgb="FF000000"/>
      </right>
      <top style="hair">
        <color rgb="FF000000"/>
      </top>
      <bottom style="hair">
        <color rgb="FF000000"/>
      </bottom>
      <diagonal/>
    </border>
    <border>
      <left style="hair">
        <color rgb="FF000000"/>
      </left>
      <right/>
      <top style="hair">
        <color rgb="FF000000"/>
      </top>
      <bottom style="hair">
        <color rgb="FF000000"/>
      </bottom>
      <diagonal/>
    </border>
    <border>
      <left style="hair">
        <color rgb="FF000000"/>
      </left>
      <right/>
      <top style="double">
        <color rgb="FF000000"/>
      </top>
      <bottom style="hair">
        <color rgb="FF000000"/>
      </bottom>
      <diagonal/>
    </border>
    <border>
      <left style="thin">
        <color rgb="FF000000"/>
      </left>
      <right style="thin">
        <color rgb="FF000000"/>
      </right>
      <top style="hair">
        <color rgb="FF000000"/>
      </top>
      <bottom style="thin">
        <color rgb="FF000000"/>
      </bottom>
      <diagonal/>
    </border>
    <border>
      <left/>
      <right style="hair">
        <color rgb="FF000000"/>
      </right>
      <top style="hair">
        <color rgb="FF000000"/>
      </top>
      <bottom style="hair">
        <color rgb="FF000000"/>
      </bottom>
      <diagonal/>
    </border>
    <border>
      <left style="hair">
        <color rgb="FF000000"/>
      </left>
      <right style="medium">
        <color rgb="FF000000"/>
      </right>
      <top style="hair">
        <color rgb="FF000000"/>
      </top>
      <bottom style="hair">
        <color rgb="FF000000"/>
      </bottom>
      <diagonal/>
    </border>
    <border>
      <left style="medium">
        <color rgb="FF000000"/>
      </left>
      <right style="hair">
        <color rgb="FF000000"/>
      </right>
      <top style="hair">
        <color rgb="FF000000"/>
      </top>
      <bottom/>
      <diagonal/>
    </border>
    <border>
      <left style="hair">
        <color rgb="FF000000"/>
      </left>
      <right style="hair">
        <color rgb="FF000000"/>
      </right>
      <top style="hair">
        <color rgb="FF000000"/>
      </top>
      <bottom/>
      <diagonal/>
    </border>
    <border>
      <left style="hair">
        <color rgb="FF000000"/>
      </left>
      <right/>
      <top style="hair">
        <color rgb="FF000000"/>
      </top>
      <bottom/>
      <diagonal/>
    </border>
    <border>
      <left/>
      <right style="hair">
        <color rgb="FF000000"/>
      </right>
      <top style="hair">
        <color rgb="FF000000"/>
      </top>
      <bottom/>
      <diagonal/>
    </border>
    <border>
      <left/>
      <right style="hair">
        <color rgb="FF000000"/>
      </right>
      <top/>
      <bottom style="hair">
        <color rgb="FF000000"/>
      </bottom>
      <diagonal/>
    </border>
    <border>
      <left style="hair">
        <color rgb="FF000000"/>
      </left>
      <right style="hair">
        <color rgb="FF000000"/>
      </right>
      <top/>
      <bottom style="hair">
        <color rgb="FF000000"/>
      </bottom>
      <diagonal/>
    </border>
    <border>
      <left/>
      <right style="hair">
        <color rgb="FF000000"/>
      </right>
      <top/>
      <bottom/>
      <diagonal/>
    </border>
    <border>
      <left style="hair">
        <color rgb="FF000000"/>
      </left>
      <right style="hair">
        <color rgb="FF000000"/>
      </right>
      <top/>
      <bottom/>
      <diagonal/>
    </border>
    <border>
      <left/>
      <right style="medium">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hair">
        <color rgb="FF000000"/>
      </right>
      <top style="hair">
        <color rgb="FF000000"/>
      </top>
      <bottom style="medium">
        <color rgb="FF000000"/>
      </bottom>
      <diagonal/>
    </border>
    <border>
      <left style="hair">
        <color rgb="FF000000"/>
      </left>
      <right style="hair">
        <color rgb="FF000000"/>
      </right>
      <top style="hair">
        <color rgb="FF000000"/>
      </top>
      <bottom style="medium">
        <color rgb="FF000000"/>
      </bottom>
      <diagonal/>
    </border>
    <border>
      <left style="hair">
        <color rgb="FF000000"/>
      </left>
      <right/>
      <top style="hair">
        <color rgb="FF000000"/>
      </top>
      <bottom style="medium">
        <color rgb="FF000000"/>
      </bottom>
      <diagonal/>
    </border>
    <border>
      <left/>
      <right style="medium">
        <color rgb="FF000000"/>
      </right>
      <top style="hair">
        <color rgb="FF000000"/>
      </top>
      <bottom style="medium">
        <color rgb="FF000000"/>
      </bottom>
      <diagonal/>
    </border>
    <border>
      <left/>
      <right style="thin">
        <color rgb="FF000000"/>
      </right>
      <top style="thin">
        <color rgb="FF000000"/>
      </top>
      <bottom style="medium">
        <color rgb="FF000000"/>
      </bottom>
      <diagonal/>
    </border>
    <border>
      <left/>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rgb="FF000000"/>
      </left>
      <right style="medium">
        <color rgb="FF000000"/>
      </right>
      <top style="medium">
        <color rgb="FF000000"/>
      </top>
      <bottom/>
      <diagonal/>
    </border>
    <border>
      <left style="thin">
        <color rgb="FF000000"/>
      </left>
      <right style="medium">
        <color rgb="FF000000"/>
      </right>
      <top/>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medium">
        <color rgb="FF00000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6">
    <xf numFmtId="0" fontId="0" fillId="0" borderId="0"/>
    <xf numFmtId="0" fontId="61" fillId="0" borderId="0"/>
    <xf numFmtId="0" fontId="62" fillId="0" borderId="0"/>
    <xf numFmtId="0" fontId="67" fillId="0" borderId="0" applyNumberFormat="0" applyFill="0" applyBorder="0" applyAlignment="0" applyProtection="0"/>
    <xf numFmtId="0" fontId="68" fillId="0" borderId="70" applyNumberFormat="0" applyFill="0" applyAlignment="0" applyProtection="0"/>
    <xf numFmtId="0" fontId="69" fillId="0" borderId="71" applyNumberFormat="0" applyFill="0" applyAlignment="0" applyProtection="0"/>
    <xf numFmtId="0" fontId="70" fillId="0" borderId="72" applyNumberFormat="0" applyFill="0" applyAlignment="0" applyProtection="0"/>
    <xf numFmtId="0" fontId="70" fillId="0" borderId="0" applyNumberFormat="0" applyFill="0" applyBorder="0" applyAlignment="0" applyProtection="0"/>
    <xf numFmtId="0" fontId="71" fillId="17" borderId="0" applyNumberFormat="0" applyBorder="0" applyAlignment="0" applyProtection="0"/>
    <xf numFmtId="0" fontId="72" fillId="18" borderId="0" applyNumberFormat="0" applyBorder="0" applyAlignment="0" applyProtection="0"/>
    <xf numFmtId="0" fontId="73" fillId="19" borderId="0" applyNumberFormat="0" applyBorder="0" applyAlignment="0" applyProtection="0"/>
    <xf numFmtId="0" fontId="74" fillId="20" borderId="73" applyNumberFormat="0" applyAlignment="0" applyProtection="0"/>
    <xf numFmtId="0" fontId="75" fillId="21" borderId="74" applyNumberFormat="0" applyAlignment="0" applyProtection="0"/>
    <xf numFmtId="0" fontId="76" fillId="21" borderId="73" applyNumberFormat="0" applyAlignment="0" applyProtection="0"/>
    <xf numFmtId="0" fontId="77" fillId="0" borderId="75" applyNumberFormat="0" applyFill="0" applyAlignment="0" applyProtection="0"/>
    <xf numFmtId="0" fontId="78" fillId="22" borderId="76" applyNumberFormat="0" applyAlignment="0" applyProtection="0"/>
    <xf numFmtId="0" fontId="79" fillId="0" borderId="0" applyNumberFormat="0" applyFill="0" applyBorder="0" applyAlignment="0" applyProtection="0"/>
    <xf numFmtId="0" fontId="80" fillId="0" borderId="0" applyNumberFormat="0" applyFill="0" applyBorder="0" applyAlignment="0" applyProtection="0"/>
    <xf numFmtId="0" fontId="81" fillId="0" borderId="78" applyNumberFormat="0" applyFill="0" applyAlignment="0" applyProtection="0"/>
    <xf numFmtId="0" fontId="8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8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8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82"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82"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82"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1" fillId="47" borderId="0" applyNumberFormat="0" applyBorder="0" applyAlignment="0" applyProtection="0"/>
    <xf numFmtId="0" fontId="1" fillId="0" borderId="0"/>
    <xf numFmtId="0" fontId="93" fillId="0" borderId="0"/>
    <xf numFmtId="0" fontId="1" fillId="23" borderId="77" applyNumberFormat="0" applyFont="0" applyAlignment="0" applyProtection="0"/>
  </cellStyleXfs>
  <cellXfs count="1009">
    <xf numFmtId="0" fontId="0" fillId="0" borderId="0" xfId="0"/>
    <xf numFmtId="0" fontId="2" fillId="0" borderId="0" xfId="0" applyFont="1"/>
    <xf numFmtId="0" fontId="3" fillId="0" borderId="0" xfId="0" applyFont="1"/>
    <xf numFmtId="0" fontId="4" fillId="0" borderId="0" xfId="0" applyFont="1"/>
    <xf numFmtId="0" fontId="5" fillId="0" borderId="0" xfId="0" applyFont="1"/>
    <xf numFmtId="0" fontId="6" fillId="0" borderId="0" xfId="0" applyFont="1"/>
    <xf numFmtId="0" fontId="8" fillId="2" borderId="0" xfId="0" applyFont="1" applyFill="1"/>
    <xf numFmtId="164" fontId="5" fillId="0" borderId="0" xfId="0" applyNumberFormat="1" applyFont="1" applyAlignment="1">
      <alignment horizontal="left"/>
    </xf>
    <xf numFmtId="0" fontId="5" fillId="0" borderId="0" xfId="0" applyFont="1" applyAlignment="1">
      <alignment vertical="center"/>
    </xf>
    <xf numFmtId="0" fontId="4" fillId="0" borderId="0" xfId="0" applyFont="1" applyAlignment="1">
      <alignment horizontal="center"/>
    </xf>
    <xf numFmtId="0" fontId="5" fillId="0" borderId="0" xfId="0" applyFont="1" applyAlignment="1">
      <alignment horizontal="center"/>
    </xf>
    <xf numFmtId="0" fontId="9" fillId="0" borderId="0" xfId="0" applyFont="1"/>
    <xf numFmtId="0" fontId="6" fillId="0" borderId="1" xfId="0" applyFont="1" applyBorder="1"/>
    <xf numFmtId="0" fontId="6" fillId="0" borderId="3" xfId="0" applyFont="1" applyBorder="1"/>
    <xf numFmtId="0" fontId="8" fillId="2" borderId="5" xfId="0" applyFont="1" applyFill="1" applyBorder="1"/>
    <xf numFmtId="0" fontId="6" fillId="0" borderId="7" xfId="0" applyFont="1" applyBorder="1"/>
    <xf numFmtId="164" fontId="12" fillId="0" borderId="9" xfId="0" applyNumberFormat="1" applyFont="1" applyBorder="1" applyAlignment="1">
      <alignment horizontal="center"/>
    </xf>
    <xf numFmtId="164" fontId="12" fillId="0" borderId="10" xfId="0" applyNumberFormat="1" applyFont="1" applyBorder="1" applyAlignment="1">
      <alignment horizontal="center"/>
    </xf>
    <xf numFmtId="164" fontId="12" fillId="0" borderId="3" xfId="0" applyNumberFormat="1" applyFont="1" applyBorder="1" applyAlignment="1">
      <alignment horizontal="center"/>
    </xf>
    <xf numFmtId="164" fontId="12" fillId="0" borderId="4" xfId="0" applyNumberFormat="1" applyFont="1" applyBorder="1" applyAlignment="1">
      <alignment horizontal="center"/>
    </xf>
    <xf numFmtId="164" fontId="4" fillId="0" borderId="3" xfId="0" applyNumberFormat="1" applyFont="1" applyBorder="1" applyAlignment="1">
      <alignment horizontal="left" vertical="top"/>
    </xf>
    <xf numFmtId="164" fontId="14" fillId="0" borderId="4" xfId="0" applyNumberFormat="1" applyFont="1" applyBorder="1" applyAlignment="1">
      <alignment horizontal="left" vertical="top"/>
    </xf>
    <xf numFmtId="0" fontId="8" fillId="2" borderId="10" xfId="0" applyFont="1" applyFill="1" applyBorder="1"/>
    <xf numFmtId="164" fontId="5" fillId="0" borderId="11" xfId="0" applyNumberFormat="1" applyFont="1" applyBorder="1"/>
    <xf numFmtId="164" fontId="12" fillId="0" borderId="10" xfId="0" applyNumberFormat="1" applyFont="1" applyBorder="1" applyAlignment="1">
      <alignment horizontal="left"/>
    </xf>
    <xf numFmtId="164" fontId="5" fillId="0" borderId="11" xfId="0" applyNumberFormat="1" applyFont="1" applyBorder="1" applyAlignment="1">
      <alignment horizontal="left" wrapText="1"/>
    </xf>
    <xf numFmtId="164" fontId="5" fillId="0" borderId="11" xfId="0" applyNumberFormat="1" applyFont="1" applyBorder="1" applyAlignment="1">
      <alignment horizontal="left"/>
    </xf>
    <xf numFmtId="164" fontId="15" fillId="0" borderId="11" xfId="0" applyNumberFormat="1" applyFont="1" applyBorder="1" applyAlignment="1">
      <alignment horizontal="left"/>
    </xf>
    <xf numFmtId="164" fontId="16" fillId="0" borderId="10" xfId="0" applyNumberFormat="1" applyFont="1" applyBorder="1" applyAlignment="1">
      <alignment horizontal="left"/>
    </xf>
    <xf numFmtId="0" fontId="17" fillId="0" borderId="0" xfId="0" applyFont="1"/>
    <xf numFmtId="164" fontId="19" fillId="0" borderId="11" xfId="0" applyNumberFormat="1" applyFont="1" applyBorder="1" applyAlignment="1">
      <alignment horizontal="left"/>
    </xf>
    <xf numFmtId="164" fontId="19" fillId="0" borderId="10" xfId="0" applyNumberFormat="1" applyFont="1" applyBorder="1" applyAlignment="1">
      <alignment horizontal="left"/>
    </xf>
    <xf numFmtId="0" fontId="19" fillId="0" borderId="0" xfId="0" applyFont="1"/>
    <xf numFmtId="164" fontId="21" fillId="0" borderId="11" xfId="0" applyNumberFormat="1" applyFont="1" applyBorder="1" applyAlignment="1">
      <alignment horizontal="left"/>
    </xf>
    <xf numFmtId="164" fontId="21" fillId="0" borderId="10" xfId="0" applyNumberFormat="1" applyFont="1" applyBorder="1" applyAlignment="1">
      <alignment horizontal="left"/>
    </xf>
    <xf numFmtId="0" fontId="21" fillId="0" borderId="0" xfId="0" applyFont="1"/>
    <xf numFmtId="164" fontId="5" fillId="0" borderId="11" xfId="0" applyNumberFormat="1" applyFont="1" applyBorder="1" applyAlignment="1">
      <alignment horizontal="left" vertical="top" wrapText="1"/>
    </xf>
    <xf numFmtId="164" fontId="7" fillId="0" borderId="11" xfId="0" applyNumberFormat="1" applyFont="1" applyBorder="1" applyAlignment="1">
      <alignment horizontal="left"/>
    </xf>
    <xf numFmtId="164" fontId="7" fillId="0" borderId="10" xfId="0" applyNumberFormat="1" applyFont="1" applyBorder="1" applyAlignment="1">
      <alignment horizontal="left"/>
    </xf>
    <xf numFmtId="0" fontId="7" fillId="0" borderId="0" xfId="0" applyFont="1"/>
    <xf numFmtId="0" fontId="5" fillId="0" borderId="11" xfId="0" applyFont="1" applyBorder="1" applyAlignment="1">
      <alignment horizontal="left" wrapText="1"/>
    </xf>
    <xf numFmtId="0" fontId="7" fillId="0" borderId="11" xfId="0" applyFont="1" applyBorder="1" applyAlignment="1">
      <alignment horizontal="left" wrapText="1"/>
    </xf>
    <xf numFmtId="164" fontId="9" fillId="0" borderId="11" xfId="0" applyNumberFormat="1" applyFont="1" applyBorder="1" applyAlignment="1">
      <alignment horizontal="left" vertical="center" wrapText="1"/>
    </xf>
    <xf numFmtId="164" fontId="4" fillId="0" borderId="11" xfId="0" applyNumberFormat="1" applyFont="1" applyBorder="1" applyAlignment="1">
      <alignment horizontal="left" wrapText="1"/>
    </xf>
    <xf numFmtId="164" fontId="22" fillId="0" borderId="11" xfId="0" applyNumberFormat="1" applyFont="1" applyBorder="1" applyAlignment="1">
      <alignment horizontal="left" wrapText="1"/>
    </xf>
    <xf numFmtId="0" fontId="6" fillId="3" borderId="12" xfId="0" applyFont="1" applyFill="1" applyBorder="1"/>
    <xf numFmtId="0" fontId="11" fillId="0" borderId="13" xfId="0" applyFont="1" applyBorder="1"/>
    <xf numFmtId="0" fontId="23" fillId="5" borderId="13" xfId="0" applyFont="1" applyFill="1" applyBorder="1" applyAlignment="1">
      <alignment horizontal="center"/>
    </xf>
    <xf numFmtId="0" fontId="6" fillId="3" borderId="14" xfId="0" applyFont="1" applyFill="1" applyBorder="1"/>
    <xf numFmtId="0" fontId="6" fillId="3" borderId="10" xfId="0" applyFont="1" applyFill="1" applyBorder="1"/>
    <xf numFmtId="0" fontId="18" fillId="0" borderId="0" xfId="0" applyFont="1"/>
    <xf numFmtId="0" fontId="13" fillId="0" borderId="13" xfId="0" applyFont="1" applyBorder="1"/>
    <xf numFmtId="0" fontId="19" fillId="0" borderId="13" xfId="0" applyFont="1" applyBorder="1"/>
    <xf numFmtId="0" fontId="20" fillId="0" borderId="13" xfId="0" applyFont="1" applyBorder="1"/>
    <xf numFmtId="164" fontId="22" fillId="0" borderId="16" xfId="0" applyNumberFormat="1" applyFont="1" applyBorder="1" applyAlignment="1">
      <alignment horizontal="left" wrapText="1"/>
    </xf>
    <xf numFmtId="164" fontId="12" fillId="0" borderId="17" xfId="0" applyNumberFormat="1" applyFont="1" applyBorder="1" applyAlignment="1">
      <alignment horizontal="left"/>
    </xf>
    <xf numFmtId="0" fontId="5" fillId="0" borderId="0" xfId="0" applyFont="1" applyAlignment="1">
      <alignment horizontal="left"/>
    </xf>
    <xf numFmtId="0" fontId="6" fillId="0" borderId="0" xfId="0" applyFont="1" applyAlignment="1">
      <alignment wrapText="1"/>
    </xf>
    <xf numFmtId="0" fontId="9" fillId="0" borderId="0" xfId="0" applyFont="1" applyAlignment="1">
      <alignment horizontal="center"/>
    </xf>
    <xf numFmtId="0" fontId="6" fillId="0" borderId="0" xfId="0" applyFont="1" applyAlignment="1">
      <alignment horizontal="center"/>
    </xf>
    <xf numFmtId="0" fontId="12" fillId="0" borderId="0" xfId="0" applyFont="1" applyAlignment="1">
      <alignment vertical="top"/>
    </xf>
    <xf numFmtId="0" fontId="10" fillId="0" borderId="0" xfId="0" applyFont="1"/>
    <xf numFmtId="0" fontId="24" fillId="0" borderId="0" xfId="0" applyFont="1"/>
    <xf numFmtId="0" fontId="0" fillId="6" borderId="0" xfId="0" applyFill="1"/>
    <xf numFmtId="0" fontId="25" fillId="0" borderId="0" xfId="0" applyFont="1"/>
    <xf numFmtId="0" fontId="26" fillId="0" borderId="0" xfId="0" applyFont="1"/>
    <xf numFmtId="0" fontId="0" fillId="0" borderId="0" xfId="0" applyAlignment="1">
      <alignment horizontal="left" indent="1"/>
    </xf>
    <xf numFmtId="0" fontId="27" fillId="0" borderId="0" xfId="0" applyFont="1" applyAlignment="1">
      <alignment horizontal="left"/>
    </xf>
    <xf numFmtId="0" fontId="10" fillId="0" borderId="0" xfId="0" applyFont="1" applyAlignment="1">
      <alignment wrapText="1"/>
    </xf>
    <xf numFmtId="0" fontId="28" fillId="0" borderId="0" xfId="0" applyFont="1" applyAlignment="1">
      <alignment horizontal="center"/>
    </xf>
    <xf numFmtId="4" fontId="10" fillId="0" borderId="0" xfId="0" applyNumberFormat="1" applyFont="1"/>
    <xf numFmtId="4" fontId="9" fillId="0" borderId="0" xfId="0" applyNumberFormat="1" applyFont="1" applyAlignment="1">
      <alignment horizontal="right"/>
    </xf>
    <xf numFmtId="0" fontId="29" fillId="0" borderId="0" xfId="0" applyFont="1"/>
    <xf numFmtId="4" fontId="6" fillId="0" borderId="0" xfId="0" applyNumberFormat="1" applyFont="1" applyAlignment="1">
      <alignment horizontal="right"/>
    </xf>
    <xf numFmtId="4" fontId="6" fillId="0" borderId="0" xfId="0" applyNumberFormat="1" applyFont="1"/>
    <xf numFmtId="0" fontId="27" fillId="0" borderId="0" xfId="0" applyFont="1" applyAlignment="1">
      <alignment horizontal="center" wrapText="1"/>
    </xf>
    <xf numFmtId="0" fontId="9" fillId="0" borderId="0" xfId="0" applyFont="1" applyAlignment="1">
      <alignment horizontal="center" wrapText="1"/>
    </xf>
    <xf numFmtId="0" fontId="27" fillId="0" borderId="0" xfId="0" applyFont="1" applyAlignment="1">
      <alignment horizontal="center"/>
    </xf>
    <xf numFmtId="0" fontId="30" fillId="0" borderId="0" xfId="0" applyFont="1" applyAlignment="1">
      <alignment horizontal="center"/>
    </xf>
    <xf numFmtId="4" fontId="27" fillId="0" borderId="0" xfId="0" applyNumberFormat="1" applyFont="1" applyAlignment="1">
      <alignment horizontal="center"/>
    </xf>
    <xf numFmtId="4" fontId="27" fillId="0" borderId="0" xfId="0" applyNumberFormat="1" applyFont="1" applyAlignment="1">
      <alignment horizontal="right"/>
    </xf>
    <xf numFmtId="4" fontId="31" fillId="0" borderId="0" xfId="0" applyNumberFormat="1" applyFont="1"/>
    <xf numFmtId="166" fontId="17" fillId="0" borderId="0" xfId="0" applyNumberFormat="1" applyFont="1"/>
    <xf numFmtId="0" fontId="28" fillId="0" borderId="21" xfId="0" applyFont="1" applyBorder="1" applyAlignment="1">
      <alignment horizontal="center"/>
    </xf>
    <xf numFmtId="4" fontId="27" fillId="0" borderId="20" xfId="0" applyNumberFormat="1" applyFont="1" applyBorder="1" applyAlignment="1">
      <alignment horizontal="center" vertical="center" wrapText="1"/>
    </xf>
    <xf numFmtId="4" fontId="31" fillId="0" borderId="22" xfId="0" applyNumberFormat="1" applyFont="1" applyBorder="1" applyAlignment="1">
      <alignment horizontal="center" wrapText="1"/>
    </xf>
    <xf numFmtId="3" fontId="9" fillId="0" borderId="20" xfId="0" applyNumberFormat="1" applyFont="1" applyBorder="1" applyAlignment="1">
      <alignment horizontal="center" wrapText="1"/>
    </xf>
    <xf numFmtId="0" fontId="28" fillId="0" borderId="26" xfId="0" applyFont="1" applyBorder="1" applyAlignment="1">
      <alignment horizontal="center"/>
    </xf>
    <xf numFmtId="4" fontId="10" fillId="0" borderId="26" xfId="0" applyNumberFormat="1" applyFont="1" applyBorder="1" applyAlignment="1">
      <alignment horizontal="center"/>
    </xf>
    <xf numFmtId="4" fontId="31" fillId="0" borderId="27" xfId="0" applyNumberFormat="1" applyFont="1" applyBorder="1" applyAlignment="1">
      <alignment horizontal="center" wrapText="1"/>
    </xf>
    <xf numFmtId="3" fontId="6" fillId="0" borderId="24" xfId="0" applyNumberFormat="1" applyFont="1" applyBorder="1" applyAlignment="1">
      <alignment horizontal="center"/>
    </xf>
    <xf numFmtId="0" fontId="10" fillId="0" borderId="29" xfId="0" applyFont="1" applyBorder="1"/>
    <xf numFmtId="0" fontId="30" fillId="7" borderId="30" xfId="0" applyFont="1" applyFill="1" applyBorder="1" applyAlignment="1">
      <alignment horizontal="center" vertical="top" wrapText="1"/>
    </xf>
    <xf numFmtId="4" fontId="27" fillId="7" borderId="30" xfId="0" applyNumberFormat="1" applyFont="1" applyFill="1" applyBorder="1" applyAlignment="1">
      <alignment horizontal="right" vertical="top" wrapText="1"/>
    </xf>
    <xf numFmtId="4" fontId="31" fillId="7" borderId="31" xfId="0" applyNumberFormat="1" applyFont="1" applyFill="1" applyBorder="1" applyAlignment="1">
      <alignment horizontal="right" vertical="top" wrapText="1"/>
    </xf>
    <xf numFmtId="4" fontId="9" fillId="7" borderId="32" xfId="0" applyNumberFormat="1" applyFont="1" applyFill="1" applyBorder="1" applyAlignment="1">
      <alignment horizontal="right" vertical="top" wrapText="1"/>
    </xf>
    <xf numFmtId="4" fontId="9" fillId="7" borderId="33" xfId="0" applyNumberFormat="1" applyFont="1" applyFill="1" applyBorder="1" applyAlignment="1">
      <alignment horizontal="right" vertical="top" wrapText="1"/>
    </xf>
    <xf numFmtId="0" fontId="4" fillId="7" borderId="30" xfId="0" applyFont="1" applyFill="1" applyBorder="1" applyAlignment="1">
      <alignment horizontal="left" vertical="top" wrapText="1"/>
    </xf>
    <xf numFmtId="4" fontId="9" fillId="7" borderId="30" xfId="0" applyNumberFormat="1" applyFont="1" applyFill="1" applyBorder="1" applyAlignment="1">
      <alignment horizontal="right" vertical="top" wrapText="1"/>
    </xf>
    <xf numFmtId="4" fontId="9" fillId="7" borderId="31" xfId="0" applyNumberFormat="1" applyFont="1" applyFill="1" applyBorder="1" applyAlignment="1">
      <alignment horizontal="right" vertical="top" wrapText="1"/>
    </xf>
    <xf numFmtId="0" fontId="9" fillId="7" borderId="34" xfId="0" applyFont="1" applyFill="1" applyBorder="1" applyAlignment="1">
      <alignment vertical="top"/>
    </xf>
    <xf numFmtId="0" fontId="6" fillId="7" borderId="35" xfId="0" applyFont="1" applyFill="1" applyBorder="1" applyAlignment="1">
      <alignment horizontal="left" vertical="top" wrapText="1"/>
    </xf>
    <xf numFmtId="0" fontId="5" fillId="7" borderId="30" xfId="0" applyFont="1" applyFill="1" applyBorder="1" applyAlignment="1">
      <alignment horizontal="left" vertical="top" wrapText="1"/>
    </xf>
    <xf numFmtId="4" fontId="6" fillId="7" borderId="30" xfId="0" applyNumberFormat="1" applyFont="1" applyFill="1" applyBorder="1" applyAlignment="1">
      <alignment horizontal="right" vertical="top" wrapText="1"/>
    </xf>
    <xf numFmtId="4" fontId="6" fillId="7" borderId="31" xfId="0" applyNumberFormat="1" applyFont="1" applyFill="1" applyBorder="1" applyAlignment="1">
      <alignment horizontal="right" vertical="top" wrapText="1"/>
    </xf>
    <xf numFmtId="4" fontId="6" fillId="7" borderId="33" xfId="0" applyNumberFormat="1" applyFont="1" applyFill="1" applyBorder="1" applyAlignment="1">
      <alignment horizontal="right" vertical="top" wrapText="1"/>
    </xf>
    <xf numFmtId="0" fontId="27" fillId="7" borderId="34" xfId="0" applyFont="1" applyFill="1" applyBorder="1" applyAlignment="1">
      <alignment vertical="top"/>
    </xf>
    <xf numFmtId="0" fontId="10" fillId="7" borderId="35" xfId="0" applyFont="1" applyFill="1" applyBorder="1" applyAlignment="1">
      <alignment horizontal="left" vertical="top" wrapText="1"/>
    </xf>
    <xf numFmtId="0" fontId="28" fillId="7" borderId="30" xfId="0" applyFont="1" applyFill="1" applyBorder="1" applyAlignment="1">
      <alignment horizontal="center" vertical="top" wrapText="1"/>
    </xf>
    <xf numFmtId="4" fontId="10" fillId="7" borderId="30" xfId="0" applyNumberFormat="1" applyFont="1" applyFill="1" applyBorder="1" applyAlignment="1">
      <alignment horizontal="right" vertical="top" wrapText="1"/>
    </xf>
    <xf numFmtId="4" fontId="32" fillId="7" borderId="31" xfId="0" applyNumberFormat="1" applyFont="1" applyFill="1" applyBorder="1" applyAlignment="1">
      <alignment horizontal="right" vertical="top" wrapText="1"/>
    </xf>
    <xf numFmtId="0" fontId="0" fillId="7" borderId="34" xfId="0" applyFill="1" applyBorder="1" applyAlignment="1">
      <alignment vertical="top"/>
    </xf>
    <xf numFmtId="167" fontId="28" fillId="7" borderId="30" xfId="0" applyNumberFormat="1" applyFont="1" applyFill="1" applyBorder="1" applyAlignment="1">
      <alignment horizontal="center" vertical="top" wrapText="1"/>
    </xf>
    <xf numFmtId="3" fontId="9" fillId="7" borderId="34" xfId="0" applyNumberFormat="1" applyFont="1" applyFill="1" applyBorder="1" applyAlignment="1">
      <alignment vertical="top"/>
    </xf>
    <xf numFmtId="3" fontId="9" fillId="7" borderId="34" xfId="0" applyNumberFormat="1" applyFont="1" applyFill="1" applyBorder="1" applyAlignment="1">
      <alignment vertical="top" wrapText="1"/>
    </xf>
    <xf numFmtId="0" fontId="6" fillId="7" borderId="30" xfId="0" applyFont="1" applyFill="1" applyBorder="1" applyAlignment="1">
      <alignment vertical="top" wrapText="1"/>
    </xf>
    <xf numFmtId="0" fontId="6" fillId="7" borderId="35" xfId="0" applyFont="1" applyFill="1" applyBorder="1" applyAlignment="1">
      <alignment vertical="top" wrapText="1"/>
    </xf>
    <xf numFmtId="0" fontId="5" fillId="7" borderId="30" xfId="0" applyFont="1" applyFill="1" applyBorder="1" applyAlignment="1">
      <alignment vertical="top" wrapText="1"/>
    </xf>
    <xf numFmtId="0" fontId="6" fillId="7" borderId="30" xfId="0" applyFont="1" applyFill="1" applyBorder="1" applyAlignment="1">
      <alignment vertical="top"/>
    </xf>
    <xf numFmtId="3" fontId="27" fillId="7" borderId="34" xfId="0" applyNumberFormat="1" applyFont="1" applyFill="1" applyBorder="1" applyAlignment="1">
      <alignment vertical="top"/>
    </xf>
    <xf numFmtId="0" fontId="10" fillId="7" borderId="30" xfId="0" applyFont="1" applyFill="1" applyBorder="1" applyAlignment="1">
      <alignment horizontal="left" vertical="top" wrapText="1"/>
    </xf>
    <xf numFmtId="0" fontId="6" fillId="7" borderId="30" xfId="0" applyFont="1" applyFill="1" applyBorder="1" applyAlignment="1">
      <alignment horizontal="left" vertical="top" wrapText="1"/>
    </xf>
    <xf numFmtId="0" fontId="5" fillId="7" borderId="30" xfId="0" applyFont="1" applyFill="1" applyBorder="1" applyAlignment="1">
      <alignment horizontal="center" vertical="top" wrapText="1"/>
    </xf>
    <xf numFmtId="4" fontId="33" fillId="7" borderId="30" xfId="0" applyNumberFormat="1" applyFont="1" applyFill="1" applyBorder="1" applyAlignment="1">
      <alignment horizontal="right" vertical="top" wrapText="1"/>
    </xf>
    <xf numFmtId="3" fontId="34" fillId="7" borderId="34" xfId="0" applyNumberFormat="1" applyFont="1" applyFill="1" applyBorder="1" applyAlignment="1">
      <alignment vertical="top"/>
    </xf>
    <xf numFmtId="0" fontId="33" fillId="7" borderId="30" xfId="0" applyFont="1" applyFill="1" applyBorder="1" applyAlignment="1">
      <alignment horizontal="left" vertical="top" wrapText="1"/>
    </xf>
    <xf numFmtId="0" fontId="33" fillId="7" borderId="35" xfId="0" applyFont="1" applyFill="1" applyBorder="1" applyAlignment="1">
      <alignment horizontal="left" vertical="top" wrapText="1"/>
    </xf>
    <xf numFmtId="0" fontId="22" fillId="7" borderId="30" xfId="0" applyFont="1" applyFill="1" applyBorder="1" applyAlignment="1">
      <alignment horizontal="left" vertical="top" wrapText="1"/>
    </xf>
    <xf numFmtId="4" fontId="33" fillId="7" borderId="31" xfId="0" applyNumberFormat="1" applyFont="1" applyFill="1" applyBorder="1" applyAlignment="1">
      <alignment horizontal="right" vertical="top" wrapText="1"/>
    </xf>
    <xf numFmtId="4" fontId="33" fillId="7" borderId="33" xfId="0" applyNumberFormat="1" applyFont="1" applyFill="1" applyBorder="1" applyAlignment="1">
      <alignment horizontal="right" vertical="top" wrapText="1"/>
    </xf>
    <xf numFmtId="4" fontId="17" fillId="7" borderId="33" xfId="0" applyNumberFormat="1" applyFont="1" applyFill="1" applyBorder="1" applyAlignment="1">
      <alignment horizontal="right" vertical="top" wrapText="1"/>
    </xf>
    <xf numFmtId="10" fontId="17" fillId="0" borderId="0" xfId="0" applyNumberFormat="1" applyFont="1"/>
    <xf numFmtId="0" fontId="32" fillId="0" borderId="0" xfId="0" applyFont="1"/>
    <xf numFmtId="3" fontId="9" fillId="0" borderId="21" xfId="0" applyNumberFormat="1" applyFont="1" applyBorder="1" applyAlignment="1">
      <alignment horizontal="center" wrapText="1"/>
    </xf>
    <xf numFmtId="4" fontId="32" fillId="0" borderId="0" xfId="0" applyNumberFormat="1" applyFont="1"/>
    <xf numFmtId="3" fontId="6" fillId="0" borderId="36" xfId="0" applyNumberFormat="1" applyFont="1" applyBorder="1" applyAlignment="1">
      <alignment horizontal="center"/>
    </xf>
    <xf numFmtId="4" fontId="9" fillId="7" borderId="37" xfId="0" applyNumberFormat="1" applyFont="1" applyFill="1" applyBorder="1" applyAlignment="1">
      <alignment horizontal="right" vertical="top" wrapText="1"/>
    </xf>
    <xf numFmtId="3" fontId="31" fillId="0" borderId="0" xfId="0" applyNumberFormat="1" applyFont="1" applyAlignment="1">
      <alignment vertical="top"/>
    </xf>
    <xf numFmtId="3" fontId="31" fillId="8" borderId="0" xfId="0" applyNumberFormat="1" applyFont="1" applyFill="1" applyAlignment="1">
      <alignment vertical="top"/>
    </xf>
    <xf numFmtId="4" fontId="31" fillId="0" borderId="0" xfId="0" applyNumberFormat="1" applyFont="1" applyAlignment="1">
      <alignment vertical="top"/>
    </xf>
    <xf numFmtId="0" fontId="31" fillId="0" borderId="0" xfId="0" applyFont="1" applyAlignment="1">
      <alignment vertical="top"/>
    </xf>
    <xf numFmtId="4" fontId="9" fillId="7" borderId="10" xfId="0" applyNumberFormat="1" applyFont="1" applyFill="1" applyBorder="1" applyAlignment="1">
      <alignment horizontal="right" vertical="top" wrapText="1"/>
    </xf>
    <xf numFmtId="4" fontId="35" fillId="0" borderId="0" xfId="0" applyNumberFormat="1" applyFont="1"/>
    <xf numFmtId="0" fontId="35" fillId="0" borderId="0" xfId="0" applyFont="1"/>
    <xf numFmtId="0" fontId="31" fillId="0" borderId="0" xfId="0" applyFont="1"/>
    <xf numFmtId="3" fontId="9" fillId="0" borderId="0" xfId="0" applyNumberFormat="1" applyFont="1" applyAlignment="1">
      <alignment vertical="top"/>
    </xf>
    <xf numFmtId="4" fontId="6" fillId="7" borderId="10" xfId="0" applyNumberFormat="1" applyFont="1" applyFill="1" applyBorder="1" applyAlignment="1">
      <alignment horizontal="right" vertical="top" wrapText="1"/>
    </xf>
    <xf numFmtId="3" fontId="9" fillId="0" borderId="0" xfId="0" applyNumberFormat="1" applyFont="1"/>
    <xf numFmtId="3" fontId="32" fillId="0" borderId="0" xfId="0" applyNumberFormat="1" applyFont="1"/>
    <xf numFmtId="3" fontId="6" fillId="0" borderId="0" xfId="0" applyNumberFormat="1" applyFont="1"/>
    <xf numFmtId="3" fontId="31" fillId="0" borderId="0" xfId="0" applyNumberFormat="1" applyFont="1"/>
    <xf numFmtId="3" fontId="33" fillId="0" borderId="0" xfId="0" applyNumberFormat="1" applyFont="1"/>
    <xf numFmtId="4" fontId="33" fillId="7" borderId="10" xfId="0" applyNumberFormat="1" applyFont="1" applyFill="1" applyBorder="1" applyAlignment="1">
      <alignment horizontal="right" vertical="top" wrapText="1"/>
    </xf>
    <xf numFmtId="3" fontId="34" fillId="0" borderId="0" xfId="0" applyNumberFormat="1" applyFont="1" applyAlignment="1">
      <alignment vertical="top"/>
    </xf>
    <xf numFmtId="4" fontId="17" fillId="7" borderId="10" xfId="0" applyNumberFormat="1" applyFont="1" applyFill="1" applyBorder="1" applyAlignment="1">
      <alignment horizontal="right" vertical="top" wrapText="1"/>
    </xf>
    <xf numFmtId="0" fontId="9" fillId="0" borderId="0" xfId="0" applyFont="1" applyAlignment="1">
      <alignment vertical="top"/>
    </xf>
    <xf numFmtId="0" fontId="34" fillId="0" borderId="0" xfId="0" applyFont="1"/>
    <xf numFmtId="0" fontId="6" fillId="7" borderId="34" xfId="0" applyFont="1" applyFill="1" applyBorder="1" applyAlignment="1">
      <alignment vertical="top"/>
    </xf>
    <xf numFmtId="0" fontId="36" fillId="7" borderId="30" xfId="0" applyFont="1" applyFill="1" applyBorder="1" applyAlignment="1">
      <alignment vertical="top"/>
    </xf>
    <xf numFmtId="0" fontId="10" fillId="7" borderId="35" xfId="0" applyFont="1" applyFill="1" applyBorder="1" applyAlignment="1">
      <alignment vertical="top" wrapText="1"/>
    </xf>
    <xf numFmtId="0" fontId="10" fillId="7" borderId="30" xfId="0" applyFont="1" applyFill="1" applyBorder="1" applyAlignment="1">
      <alignment vertical="top"/>
    </xf>
    <xf numFmtId="0" fontId="28" fillId="7" borderId="30" xfId="0" applyFont="1" applyFill="1" applyBorder="1" applyAlignment="1">
      <alignment vertical="top" wrapText="1"/>
    </xf>
    <xf numFmtId="3" fontId="6" fillId="7" borderId="34" xfId="0" applyNumberFormat="1" applyFont="1" applyFill="1" applyBorder="1" applyAlignment="1">
      <alignment vertical="top"/>
    </xf>
    <xf numFmtId="0" fontId="28" fillId="7" borderId="30" xfId="0" applyFont="1" applyFill="1" applyBorder="1" applyAlignment="1">
      <alignment horizontal="left" vertical="top" wrapText="1"/>
    </xf>
    <xf numFmtId="0" fontId="30" fillId="7" borderId="30" xfId="0" applyFont="1" applyFill="1" applyBorder="1" applyAlignment="1">
      <alignment horizontal="left" vertical="top" wrapText="1"/>
    </xf>
    <xf numFmtId="0" fontId="4" fillId="7" borderId="30" xfId="0" applyFont="1" applyFill="1" applyBorder="1" applyAlignment="1">
      <alignment horizontal="center" vertical="top" wrapText="1"/>
    </xf>
    <xf numFmtId="0" fontId="17" fillId="7" borderId="35" xfId="0" applyFont="1" applyFill="1" applyBorder="1" applyAlignment="1">
      <alignment horizontal="left" vertical="top" wrapText="1"/>
    </xf>
    <xf numFmtId="3" fontId="34" fillId="0" borderId="0" xfId="0" applyNumberFormat="1" applyFont="1"/>
    <xf numFmtId="0" fontId="33" fillId="0" borderId="0" xfId="0" applyFont="1"/>
    <xf numFmtId="0" fontId="37" fillId="0" borderId="0" xfId="0" applyFont="1"/>
    <xf numFmtId="0" fontId="32" fillId="9" borderId="0" xfId="0" applyFont="1" applyFill="1"/>
    <xf numFmtId="0" fontId="9" fillId="0" borderId="0" xfId="0" applyFont="1" applyAlignment="1">
      <alignment horizontal="left"/>
    </xf>
    <xf numFmtId="4" fontId="9" fillId="0" borderId="0" xfId="0" applyNumberFormat="1" applyFont="1" applyAlignment="1">
      <alignment vertical="top"/>
    </xf>
    <xf numFmtId="0" fontId="17" fillId="7" borderId="30" xfId="0" applyFont="1" applyFill="1" applyBorder="1" applyAlignment="1">
      <alignment horizontal="left" vertical="top" wrapText="1"/>
    </xf>
    <xf numFmtId="4" fontId="10" fillId="7" borderId="33" xfId="0" applyNumberFormat="1" applyFont="1" applyFill="1" applyBorder="1" applyAlignment="1">
      <alignment horizontal="right" vertical="top" wrapText="1"/>
    </xf>
    <xf numFmtId="4" fontId="10" fillId="7" borderId="31" xfId="0" applyNumberFormat="1" applyFont="1" applyFill="1" applyBorder="1" applyAlignment="1">
      <alignment horizontal="right" vertical="top" wrapText="1"/>
    </xf>
    <xf numFmtId="49" fontId="9" fillId="7" borderId="34" xfId="0" applyNumberFormat="1" applyFont="1" applyFill="1" applyBorder="1" applyAlignment="1">
      <alignment horizontal="left" vertical="top"/>
    </xf>
    <xf numFmtId="0" fontId="0" fillId="7" borderId="35" xfId="0" applyFill="1" applyBorder="1" applyAlignment="1">
      <alignment vertical="top" wrapText="1"/>
    </xf>
    <xf numFmtId="0" fontId="25" fillId="7" borderId="30" xfId="0" applyFont="1" applyFill="1" applyBorder="1" applyAlignment="1">
      <alignment vertical="top" wrapText="1"/>
    </xf>
    <xf numFmtId="4" fontId="0" fillId="7" borderId="30" xfId="0" applyNumberFormat="1" applyFill="1" applyBorder="1" applyAlignment="1">
      <alignment horizontal="right" vertical="top" wrapText="1"/>
    </xf>
    <xf numFmtId="4" fontId="0" fillId="7" borderId="31" xfId="0" applyNumberFormat="1" applyFill="1" applyBorder="1" applyAlignment="1">
      <alignment horizontal="right" vertical="top" wrapText="1"/>
    </xf>
    <xf numFmtId="4" fontId="0" fillId="7" borderId="33" xfId="0" applyNumberFormat="1" applyFill="1" applyBorder="1" applyAlignment="1">
      <alignment horizontal="right" vertical="top" wrapText="1"/>
    </xf>
    <xf numFmtId="0" fontId="31" fillId="9" borderId="0" xfId="0" applyFont="1" applyFill="1"/>
    <xf numFmtId="4" fontId="10" fillId="7" borderId="10" xfId="0" applyNumberFormat="1" applyFont="1" applyFill="1" applyBorder="1" applyAlignment="1">
      <alignment horizontal="right" vertical="top" wrapText="1"/>
    </xf>
    <xf numFmtId="0" fontId="38" fillId="0" borderId="0" xfId="0" applyFont="1"/>
    <xf numFmtId="4" fontId="0" fillId="7" borderId="10" xfId="0" applyNumberFormat="1" applyFill="1" applyBorder="1" applyAlignment="1">
      <alignment horizontal="right" vertical="top" wrapText="1"/>
    </xf>
    <xf numFmtId="49" fontId="4" fillId="7" borderId="30" xfId="0" applyNumberFormat="1" applyFont="1" applyFill="1" applyBorder="1" applyAlignment="1">
      <alignment horizontal="left" vertical="top" wrapText="1"/>
    </xf>
    <xf numFmtId="49" fontId="27" fillId="7" borderId="34" xfId="0" applyNumberFormat="1" applyFont="1" applyFill="1" applyBorder="1" applyAlignment="1">
      <alignment horizontal="left" vertical="top"/>
    </xf>
    <xf numFmtId="49" fontId="30" fillId="7" borderId="30" xfId="0" applyNumberFormat="1" applyFont="1" applyFill="1" applyBorder="1" applyAlignment="1">
      <alignment horizontal="left" vertical="top" wrapText="1"/>
    </xf>
    <xf numFmtId="0" fontId="9" fillId="0" borderId="34" xfId="0" applyFont="1" applyBorder="1" applyAlignment="1">
      <alignment vertical="top"/>
    </xf>
    <xf numFmtId="0" fontId="6" fillId="0" borderId="35" xfId="0" applyFont="1" applyBorder="1" applyAlignment="1">
      <alignment horizontal="left" vertical="top" wrapText="1"/>
    </xf>
    <xf numFmtId="0" fontId="5" fillId="0" borderId="30" xfId="0" applyFont="1" applyBorder="1" applyAlignment="1">
      <alignment horizontal="left" vertical="top" wrapText="1"/>
    </xf>
    <xf numFmtId="4" fontId="6" fillId="0" borderId="30" xfId="0" applyNumberFormat="1" applyFont="1" applyBorder="1" applyAlignment="1">
      <alignment horizontal="right" vertical="top" wrapText="1"/>
    </xf>
    <xf numFmtId="4" fontId="9" fillId="0" borderId="31" xfId="0" applyNumberFormat="1" applyFont="1" applyBorder="1" applyAlignment="1">
      <alignment horizontal="right" vertical="top"/>
    </xf>
    <xf numFmtId="0" fontId="39" fillId="0" borderId="33" xfId="0" applyFont="1" applyBorder="1" applyAlignment="1">
      <alignment horizontal="right" vertical="top" wrapText="1"/>
    </xf>
    <xf numFmtId="0" fontId="6" fillId="0" borderId="33" xfId="0" applyFont="1" applyBorder="1" applyAlignment="1">
      <alignment horizontal="right" vertical="top" wrapText="1"/>
    </xf>
    <xf numFmtId="0" fontId="6" fillId="0" borderId="34" xfId="0" applyFont="1" applyBorder="1" applyAlignment="1">
      <alignment vertical="top"/>
    </xf>
    <xf numFmtId="0" fontId="27" fillId="0" borderId="34" xfId="0" applyFont="1" applyBorder="1" applyAlignment="1">
      <alignment vertical="top"/>
    </xf>
    <xf numFmtId="0" fontId="10" fillId="0" borderId="35" xfId="0" applyFont="1" applyBorder="1" applyAlignment="1">
      <alignment horizontal="left" vertical="top" wrapText="1"/>
    </xf>
    <xf numFmtId="0" fontId="28" fillId="0" borderId="30" xfId="0" applyFont="1" applyBorder="1" applyAlignment="1">
      <alignment horizontal="center" vertical="top" wrapText="1"/>
    </xf>
    <xf numFmtId="4" fontId="10" fillId="0" borderId="30" xfId="0" applyNumberFormat="1" applyFont="1" applyBorder="1" applyAlignment="1">
      <alignment horizontal="right" vertical="top" wrapText="1"/>
    </xf>
    <xf numFmtId="4" fontId="31" fillId="0" borderId="31" xfId="0" applyNumberFormat="1" applyFont="1" applyBorder="1" applyAlignment="1">
      <alignment horizontal="right" vertical="top"/>
    </xf>
    <xf numFmtId="168" fontId="6" fillId="0" borderId="33" xfId="0" applyNumberFormat="1" applyFont="1" applyBorder="1" applyAlignment="1">
      <alignment horizontal="right" vertical="top" wrapText="1"/>
    </xf>
    <xf numFmtId="4" fontId="10" fillId="0" borderId="30" xfId="0" applyNumberFormat="1" applyFont="1" applyBorder="1" applyAlignment="1">
      <alignment horizontal="right" vertical="top"/>
    </xf>
    <xf numFmtId="167" fontId="28" fillId="0" borderId="30" xfId="0" applyNumberFormat="1" applyFont="1" applyBorder="1" applyAlignment="1">
      <alignment horizontal="center" vertical="top" wrapText="1"/>
    </xf>
    <xf numFmtId="4" fontId="9" fillId="7" borderId="31" xfId="0" applyNumberFormat="1" applyFont="1" applyFill="1" applyBorder="1" applyAlignment="1">
      <alignment horizontal="right" vertical="top"/>
    </xf>
    <xf numFmtId="0" fontId="9" fillId="7" borderId="33" xfId="0" applyFont="1" applyFill="1" applyBorder="1" applyAlignment="1">
      <alignment horizontal="right" vertical="top" wrapText="1"/>
    </xf>
    <xf numFmtId="4" fontId="6" fillId="7" borderId="31" xfId="0" applyNumberFormat="1" applyFont="1" applyFill="1" applyBorder="1" applyAlignment="1">
      <alignment horizontal="right" vertical="top"/>
    </xf>
    <xf numFmtId="0" fontId="39" fillId="0" borderId="10" xfId="0" applyFont="1" applyBorder="1" applyAlignment="1">
      <alignment horizontal="right" vertical="top" wrapText="1"/>
    </xf>
    <xf numFmtId="0" fontId="6" fillId="0" borderId="10" xfId="0" applyFont="1" applyBorder="1" applyAlignment="1">
      <alignment horizontal="right" vertical="top" wrapText="1"/>
    </xf>
    <xf numFmtId="168" fontId="6" fillId="0" borderId="10" xfId="0" applyNumberFormat="1" applyFont="1" applyBorder="1" applyAlignment="1">
      <alignment horizontal="right" vertical="top" wrapText="1"/>
    </xf>
    <xf numFmtId="0" fontId="40" fillId="0" borderId="0" xfId="0" applyFont="1"/>
    <xf numFmtId="0" fontId="9" fillId="7" borderId="10" xfId="0" applyFont="1" applyFill="1" applyBorder="1" applyAlignment="1">
      <alignment horizontal="right" vertical="top" wrapText="1"/>
    </xf>
    <xf numFmtId="0" fontId="6" fillId="7" borderId="33" xfId="0" applyFont="1" applyFill="1" applyBorder="1" applyAlignment="1">
      <alignment horizontal="right" vertical="top" wrapText="1"/>
    </xf>
    <xf numFmtId="3" fontId="9" fillId="0" borderId="34" xfId="0" applyNumberFormat="1" applyFont="1" applyBorder="1" applyAlignment="1">
      <alignment vertical="top"/>
    </xf>
    <xf numFmtId="0" fontId="6" fillId="0" borderId="30" xfId="0" applyFont="1" applyBorder="1" applyAlignment="1">
      <alignment vertical="top"/>
    </xf>
    <xf numFmtId="0" fontId="6" fillId="0" borderId="35" xfId="0" applyFont="1" applyBorder="1" applyAlignment="1">
      <alignment vertical="top"/>
    </xf>
    <xf numFmtId="0" fontId="5" fillId="0" borderId="30" xfId="0" applyFont="1" applyBorder="1" applyAlignment="1">
      <alignment vertical="top"/>
    </xf>
    <xf numFmtId="4" fontId="6" fillId="0" borderId="30" xfId="0" applyNumberFormat="1" applyFont="1" applyBorder="1" applyAlignment="1">
      <alignment horizontal="right" vertical="top"/>
    </xf>
    <xf numFmtId="0" fontId="6" fillId="0" borderId="33" xfId="0" applyFont="1" applyBorder="1" applyAlignment="1">
      <alignment horizontal="right" vertical="top"/>
    </xf>
    <xf numFmtId="3" fontId="27" fillId="0" borderId="34" xfId="0" applyNumberFormat="1" applyFont="1" applyBorder="1" applyAlignment="1">
      <alignment vertical="top"/>
    </xf>
    <xf numFmtId="0" fontId="10" fillId="0" borderId="30" xfId="0" applyFont="1" applyBorder="1" applyAlignment="1">
      <alignment horizontal="left" vertical="top" wrapText="1"/>
    </xf>
    <xf numFmtId="4" fontId="32" fillId="0" borderId="31" xfId="0" applyNumberFormat="1" applyFont="1" applyBorder="1" applyAlignment="1">
      <alignment horizontal="right" vertical="top" wrapText="1"/>
    </xf>
    <xf numFmtId="4" fontId="6" fillId="0" borderId="31" xfId="0" applyNumberFormat="1" applyFont="1" applyBorder="1" applyAlignment="1">
      <alignment horizontal="right" vertical="top" wrapText="1"/>
    </xf>
    <xf numFmtId="4" fontId="6" fillId="0" borderId="33" xfId="0" applyNumberFormat="1" applyFont="1" applyBorder="1" applyAlignment="1">
      <alignment horizontal="right" vertical="top" wrapText="1"/>
    </xf>
    <xf numFmtId="0" fontId="6" fillId="0" borderId="30" xfId="0" applyFont="1" applyBorder="1" applyAlignment="1">
      <alignment horizontal="left" vertical="top" wrapText="1"/>
    </xf>
    <xf numFmtId="0" fontId="5" fillId="0" borderId="30" xfId="0" applyFont="1" applyBorder="1" applyAlignment="1">
      <alignment horizontal="center" vertical="top" wrapText="1"/>
    </xf>
    <xf numFmtId="168" fontId="17" fillId="0" borderId="33" xfId="0" applyNumberFormat="1" applyFont="1" applyBorder="1" applyAlignment="1">
      <alignment horizontal="right" vertical="top" wrapText="1"/>
    </xf>
    <xf numFmtId="4" fontId="33" fillId="0" borderId="31" xfId="0" applyNumberFormat="1" applyFont="1" applyBorder="1" applyAlignment="1">
      <alignment horizontal="right" vertical="top" wrapText="1"/>
    </xf>
    <xf numFmtId="3" fontId="34" fillId="0" borderId="34" xfId="0" applyNumberFormat="1" applyFont="1" applyBorder="1" applyAlignment="1">
      <alignment vertical="top"/>
    </xf>
    <xf numFmtId="0" fontId="33" fillId="0" borderId="30" xfId="0" applyFont="1" applyBorder="1" applyAlignment="1">
      <alignment horizontal="left" vertical="top" wrapText="1"/>
    </xf>
    <xf numFmtId="0" fontId="33" fillId="0" borderId="35" xfId="0" applyFont="1" applyBorder="1" applyAlignment="1">
      <alignment horizontal="left" vertical="top" wrapText="1"/>
    </xf>
    <xf numFmtId="0" fontId="22" fillId="0" borderId="30" xfId="0" applyFont="1" applyBorder="1" applyAlignment="1">
      <alignment horizontal="left" vertical="top" wrapText="1"/>
    </xf>
    <xf numFmtId="4" fontId="33" fillId="0" borderId="30" xfId="0" applyNumberFormat="1" applyFont="1" applyBorder="1" applyAlignment="1">
      <alignment horizontal="right" vertical="top" wrapText="1"/>
    </xf>
    <xf numFmtId="168" fontId="41" fillId="0" borderId="33" xfId="0" applyNumberFormat="1" applyFont="1" applyBorder="1" applyAlignment="1">
      <alignment horizontal="right" vertical="top" wrapText="1"/>
    </xf>
    <xf numFmtId="0" fontId="36" fillId="0" borderId="30" xfId="0" applyFont="1" applyBorder="1" applyAlignment="1">
      <alignment vertical="top"/>
    </xf>
    <xf numFmtId="0" fontId="10" fillId="0" borderId="35" xfId="0" applyFont="1" applyBorder="1" applyAlignment="1">
      <alignment vertical="top" wrapText="1"/>
    </xf>
    <xf numFmtId="0" fontId="28" fillId="0" borderId="30" xfId="0" applyFont="1" applyBorder="1" applyAlignment="1">
      <alignment horizontal="center" vertical="top"/>
    </xf>
    <xf numFmtId="4" fontId="17" fillId="0" borderId="30" xfId="0" applyNumberFormat="1" applyFont="1" applyBorder="1" applyAlignment="1">
      <alignment horizontal="right" vertical="top" wrapText="1"/>
    </xf>
    <xf numFmtId="0" fontId="10" fillId="0" borderId="29" xfId="0" applyFont="1" applyBorder="1" applyAlignment="1">
      <alignment wrapText="1"/>
    </xf>
    <xf numFmtId="0" fontId="6" fillId="7" borderId="10" xfId="0" applyFont="1" applyFill="1" applyBorder="1" applyAlignment="1">
      <alignment horizontal="right" vertical="top" wrapText="1"/>
    </xf>
    <xf numFmtId="0" fontId="6" fillId="0" borderId="10" xfId="0" applyFont="1" applyBorder="1" applyAlignment="1">
      <alignment horizontal="right" vertical="top"/>
    </xf>
    <xf numFmtId="4" fontId="6" fillId="0" borderId="10" xfId="0" applyNumberFormat="1" applyFont="1" applyBorder="1" applyAlignment="1">
      <alignment horizontal="right" vertical="top" wrapText="1"/>
    </xf>
    <xf numFmtId="168" fontId="17" fillId="0" borderId="10" xfId="0" applyNumberFormat="1" applyFont="1" applyBorder="1" applyAlignment="1">
      <alignment horizontal="right" vertical="top" wrapText="1"/>
    </xf>
    <xf numFmtId="168" fontId="41" fillId="0" borderId="10" xfId="0" applyNumberFormat="1" applyFont="1" applyBorder="1" applyAlignment="1">
      <alignment horizontal="right" vertical="top" wrapText="1"/>
    </xf>
    <xf numFmtId="0" fontId="42" fillId="0" borderId="0" xfId="0" applyFont="1"/>
    <xf numFmtId="3" fontId="6" fillId="0" borderId="34" xfId="0" applyNumberFormat="1" applyFont="1" applyBorder="1" applyAlignment="1">
      <alignment vertical="top"/>
    </xf>
    <xf numFmtId="0" fontId="28" fillId="0" borderId="30" xfId="0" applyFont="1" applyBorder="1" applyAlignment="1">
      <alignment horizontal="left" vertical="top" wrapText="1"/>
    </xf>
    <xf numFmtId="4" fontId="40" fillId="0" borderId="31" xfId="0" applyNumberFormat="1" applyFont="1" applyBorder="1" applyAlignment="1">
      <alignment horizontal="right" vertical="top"/>
    </xf>
    <xf numFmtId="0" fontId="17" fillId="0" borderId="33" xfId="0" applyFont="1" applyBorder="1" applyAlignment="1">
      <alignment horizontal="right" vertical="top" wrapText="1"/>
    </xf>
    <xf numFmtId="3" fontId="43" fillId="0" borderId="34" xfId="0" applyNumberFormat="1" applyFont="1" applyBorder="1" applyAlignment="1">
      <alignment vertical="top"/>
    </xf>
    <xf numFmtId="4" fontId="44" fillId="0" borderId="30" xfId="0" applyNumberFormat="1" applyFont="1" applyBorder="1" applyAlignment="1">
      <alignment horizontal="center" vertical="top"/>
    </xf>
    <xf numFmtId="4" fontId="43" fillId="0" borderId="30" xfId="0" applyNumberFormat="1" applyFont="1" applyBorder="1" applyAlignment="1">
      <alignment horizontal="right" vertical="top"/>
    </xf>
    <xf numFmtId="4" fontId="43" fillId="0" borderId="31" xfId="0" applyNumberFormat="1" applyFont="1" applyBorder="1" applyAlignment="1">
      <alignment horizontal="right" vertical="top"/>
    </xf>
    <xf numFmtId="3" fontId="45" fillId="0" borderId="0" xfId="0" applyNumberFormat="1" applyFont="1" applyAlignment="1">
      <alignment vertical="top"/>
    </xf>
    <xf numFmtId="4" fontId="6" fillId="0" borderId="31" xfId="0" applyNumberFormat="1" applyFont="1" applyBorder="1" applyAlignment="1">
      <alignment horizontal="right" vertical="top"/>
    </xf>
    <xf numFmtId="4" fontId="32" fillId="0" borderId="31" xfId="0" applyNumberFormat="1" applyFont="1" applyBorder="1" applyAlignment="1">
      <alignment horizontal="right" vertical="top"/>
    </xf>
    <xf numFmtId="49" fontId="9" fillId="0" borderId="34" xfId="0" applyNumberFormat="1" applyFont="1" applyBorder="1" applyAlignment="1">
      <alignment horizontal="left" vertical="top"/>
    </xf>
    <xf numFmtId="0" fontId="30" fillId="10" borderId="30" xfId="0" applyFont="1" applyFill="1" applyBorder="1" applyAlignment="1">
      <alignment horizontal="center" vertical="top" wrapText="1"/>
    </xf>
    <xf numFmtId="4" fontId="27" fillId="10" borderId="30" xfId="0" applyNumberFormat="1" applyFont="1" applyFill="1" applyBorder="1" applyAlignment="1">
      <alignment horizontal="right" vertical="top" wrapText="1"/>
    </xf>
    <xf numFmtId="4" fontId="31" fillId="10" borderId="31" xfId="0" applyNumberFormat="1" applyFont="1" applyFill="1" applyBorder="1" applyAlignment="1">
      <alignment horizontal="right" vertical="top" wrapText="1"/>
    </xf>
    <xf numFmtId="4" fontId="9" fillId="10" borderId="33" xfId="0" applyNumberFormat="1" applyFont="1" applyFill="1" applyBorder="1" applyAlignment="1">
      <alignment horizontal="right" vertical="top" wrapText="1"/>
    </xf>
    <xf numFmtId="4" fontId="9" fillId="10" borderId="31" xfId="0" applyNumberFormat="1" applyFont="1" applyFill="1" applyBorder="1" applyAlignment="1">
      <alignment horizontal="right" vertical="top" wrapText="1"/>
    </xf>
    <xf numFmtId="0" fontId="4" fillId="10" borderId="30" xfId="0" applyFont="1" applyFill="1" applyBorder="1" applyAlignment="1">
      <alignment horizontal="left" vertical="top" wrapText="1"/>
    </xf>
    <xf numFmtId="4" fontId="9" fillId="10" borderId="30" xfId="0" applyNumberFormat="1" applyFont="1" applyFill="1" applyBorder="1" applyAlignment="1">
      <alignment horizontal="right" vertical="top" wrapText="1"/>
    </xf>
    <xf numFmtId="0" fontId="17" fillId="0" borderId="10" xfId="0" applyFont="1" applyBorder="1" applyAlignment="1">
      <alignment horizontal="right" vertical="top" wrapText="1"/>
    </xf>
    <xf numFmtId="4" fontId="9" fillId="10" borderId="10" xfId="0" applyNumberFormat="1" applyFont="1" applyFill="1" applyBorder="1" applyAlignment="1">
      <alignment horizontal="right" vertical="top" wrapText="1"/>
    </xf>
    <xf numFmtId="0" fontId="4" fillId="10" borderId="30" xfId="0" applyFont="1" applyFill="1" applyBorder="1" applyAlignment="1">
      <alignment horizontal="center" vertical="top" wrapText="1"/>
    </xf>
    <xf numFmtId="3" fontId="2" fillId="0" borderId="34" xfId="0" applyNumberFormat="1" applyFont="1" applyBorder="1" applyAlignment="1">
      <alignment vertical="top"/>
    </xf>
    <xf numFmtId="0" fontId="46" fillId="0" borderId="30" xfId="0" applyFont="1" applyBorder="1" applyAlignment="1">
      <alignment vertical="top" wrapText="1"/>
    </xf>
    <xf numFmtId="0" fontId="46" fillId="0" borderId="35" xfId="0" applyFont="1" applyBorder="1" applyAlignment="1">
      <alignment vertical="top" wrapText="1"/>
    </xf>
    <xf numFmtId="168" fontId="47" fillId="0" borderId="33" xfId="0" applyNumberFormat="1" applyFont="1" applyBorder="1" applyAlignment="1">
      <alignment horizontal="right" vertical="top" wrapText="1"/>
    </xf>
    <xf numFmtId="3" fontId="10" fillId="0" borderId="28" xfId="0" applyNumberFormat="1" applyFont="1" applyBorder="1" applyAlignment="1">
      <alignment vertical="top"/>
    </xf>
    <xf numFmtId="0" fontId="10" fillId="0" borderId="29" xfId="0" applyFont="1" applyBorder="1" applyAlignment="1">
      <alignment vertical="top" wrapText="1"/>
    </xf>
    <xf numFmtId="4" fontId="28" fillId="0" borderId="30" xfId="0" applyNumberFormat="1" applyFont="1" applyBorder="1" applyAlignment="1">
      <alignment horizontal="center" vertical="top"/>
    </xf>
    <xf numFmtId="4" fontId="27" fillId="0" borderId="30" xfId="0" applyNumberFormat="1" applyFont="1" applyBorder="1" applyAlignment="1">
      <alignment horizontal="right" vertical="top"/>
    </xf>
    <xf numFmtId="0" fontId="30" fillId="10" borderId="30" xfId="0" applyFont="1" applyFill="1" applyBorder="1" applyAlignment="1">
      <alignment horizontal="left" vertical="top" wrapText="1"/>
    </xf>
    <xf numFmtId="3" fontId="27" fillId="10" borderId="34" xfId="0" applyNumberFormat="1" applyFont="1" applyFill="1" applyBorder="1" applyAlignment="1">
      <alignment vertical="top"/>
    </xf>
    <xf numFmtId="0" fontId="28" fillId="10" borderId="30" xfId="0" applyFont="1" applyFill="1" applyBorder="1" applyAlignment="1">
      <alignment horizontal="left" vertical="top" wrapText="1"/>
    </xf>
    <xf numFmtId="4" fontId="10" fillId="10" borderId="30" xfId="0" applyNumberFormat="1" applyFont="1" applyFill="1" applyBorder="1" applyAlignment="1">
      <alignment horizontal="right" vertical="top" wrapText="1"/>
    </xf>
    <xf numFmtId="4" fontId="6" fillId="10" borderId="31" xfId="0" applyNumberFormat="1" applyFont="1" applyFill="1" applyBorder="1" applyAlignment="1">
      <alignment horizontal="right" vertical="top" wrapText="1"/>
    </xf>
    <xf numFmtId="4" fontId="6" fillId="10" borderId="33" xfId="0" applyNumberFormat="1" applyFont="1" applyFill="1" applyBorder="1" applyAlignment="1">
      <alignment horizontal="right" vertical="top" wrapText="1"/>
    </xf>
    <xf numFmtId="0" fontId="9" fillId="10" borderId="34" xfId="0" applyFont="1" applyFill="1" applyBorder="1" applyAlignment="1">
      <alignment vertical="top"/>
    </xf>
    <xf numFmtId="0" fontId="5" fillId="10" borderId="30" xfId="0" applyFont="1" applyFill="1" applyBorder="1" applyAlignment="1">
      <alignment horizontal="left" vertical="top" wrapText="1"/>
    </xf>
    <xf numFmtId="4" fontId="6" fillId="10" borderId="30" xfId="0" applyNumberFormat="1" applyFont="1" applyFill="1" applyBorder="1" applyAlignment="1">
      <alignment horizontal="right" vertical="top" wrapText="1"/>
    </xf>
    <xf numFmtId="0" fontId="6" fillId="0" borderId="35" xfId="0" applyFont="1" applyBorder="1" applyAlignment="1">
      <alignment vertical="top" wrapText="1"/>
    </xf>
    <xf numFmtId="0" fontId="5" fillId="0" borderId="30" xfId="0" applyFont="1" applyBorder="1" applyAlignment="1">
      <alignment vertical="top" wrapText="1"/>
    </xf>
    <xf numFmtId="0" fontId="27" fillId="10" borderId="34" xfId="0" applyFont="1" applyFill="1" applyBorder="1" applyAlignment="1">
      <alignment vertical="top"/>
    </xf>
    <xf numFmtId="4" fontId="32" fillId="10" borderId="31" xfId="0" applyNumberFormat="1" applyFont="1" applyFill="1" applyBorder="1" applyAlignment="1">
      <alignment horizontal="right" vertical="top" wrapText="1"/>
    </xf>
    <xf numFmtId="0" fontId="28" fillId="0" borderId="30" xfId="0" applyFont="1" applyBorder="1" applyAlignment="1">
      <alignment vertical="top" wrapText="1"/>
    </xf>
    <xf numFmtId="0" fontId="17" fillId="0" borderId="30" xfId="0" applyFont="1" applyBorder="1" applyAlignment="1">
      <alignment horizontal="left" vertical="top" wrapText="1"/>
    </xf>
    <xf numFmtId="0" fontId="17" fillId="0" borderId="35" xfId="0" applyFont="1" applyBorder="1" applyAlignment="1">
      <alignment horizontal="left" vertical="top" wrapText="1"/>
    </xf>
    <xf numFmtId="4" fontId="6" fillId="0" borderId="39" xfId="0" applyNumberFormat="1" applyFont="1" applyBorder="1" applyAlignment="1">
      <alignment horizontal="right" vertical="top"/>
    </xf>
    <xf numFmtId="0" fontId="27" fillId="0" borderId="28" xfId="0" applyFont="1" applyBorder="1" applyAlignment="1">
      <alignment vertical="top"/>
    </xf>
    <xf numFmtId="0" fontId="10" fillId="0" borderId="29" xfId="0" applyFont="1" applyBorder="1" applyAlignment="1">
      <alignment horizontal="left" vertical="top" wrapText="1"/>
    </xf>
    <xf numFmtId="0" fontId="9" fillId="0" borderId="28" xfId="0" applyFont="1" applyBorder="1" applyAlignment="1">
      <alignment vertical="top"/>
    </xf>
    <xf numFmtId="0" fontId="6" fillId="0" borderId="29" xfId="0" applyFont="1" applyBorder="1" applyAlignment="1">
      <alignment horizontal="left" vertical="top" wrapText="1"/>
    </xf>
    <xf numFmtId="168" fontId="47" fillId="0" borderId="10" xfId="0" applyNumberFormat="1" applyFont="1" applyBorder="1" applyAlignment="1">
      <alignment horizontal="right" vertical="top" wrapText="1"/>
    </xf>
    <xf numFmtId="4" fontId="6" fillId="10" borderId="10" xfId="0" applyNumberFormat="1" applyFont="1" applyFill="1" applyBorder="1" applyAlignment="1">
      <alignment horizontal="right" vertical="top" wrapText="1"/>
    </xf>
    <xf numFmtId="49" fontId="9" fillId="10" borderId="34" xfId="0" applyNumberFormat="1" applyFont="1" applyFill="1" applyBorder="1" applyAlignment="1">
      <alignment horizontal="left" vertical="top"/>
    </xf>
    <xf numFmtId="0" fontId="0" fillId="0" borderId="35" xfId="0" applyBorder="1" applyAlignment="1">
      <alignment vertical="top" wrapText="1"/>
    </xf>
    <xf numFmtId="0" fontId="25" fillId="0" borderId="30" xfId="0" applyFont="1" applyBorder="1" applyAlignment="1">
      <alignment vertical="top" wrapText="1"/>
    </xf>
    <xf numFmtId="0" fontId="0" fillId="0" borderId="35" xfId="0" applyBorder="1" applyAlignment="1">
      <alignment vertical="top"/>
    </xf>
    <xf numFmtId="0" fontId="25" fillId="0" borderId="30" xfId="0" applyFont="1" applyBorder="1" applyAlignment="1">
      <alignment vertical="top"/>
    </xf>
    <xf numFmtId="4" fontId="0" fillId="0" borderId="30" xfId="0" applyNumberFormat="1" applyBorder="1" applyAlignment="1">
      <alignment horizontal="right" vertical="top"/>
    </xf>
    <xf numFmtId="0" fontId="0" fillId="0" borderId="33" xfId="0" applyBorder="1" applyAlignment="1">
      <alignment horizontal="right" vertical="top"/>
    </xf>
    <xf numFmtId="0" fontId="0" fillId="0" borderId="33" xfId="0" applyBorder="1" applyAlignment="1">
      <alignment horizontal="right" vertical="top" wrapText="1"/>
    </xf>
    <xf numFmtId="4" fontId="0" fillId="0" borderId="30" xfId="0" applyNumberFormat="1" applyBorder="1" applyAlignment="1">
      <alignment horizontal="right" vertical="top" wrapText="1"/>
    </xf>
    <xf numFmtId="4" fontId="48" fillId="0" borderId="30" xfId="0" applyNumberFormat="1" applyFont="1" applyBorder="1" applyAlignment="1">
      <alignment horizontal="right" vertical="top"/>
    </xf>
    <xf numFmtId="49" fontId="27" fillId="10" borderId="34" xfId="0" applyNumberFormat="1" applyFont="1" applyFill="1" applyBorder="1" applyAlignment="1">
      <alignment horizontal="left" vertical="top"/>
    </xf>
    <xf numFmtId="49" fontId="27" fillId="0" borderId="34" xfId="0" applyNumberFormat="1" applyFont="1" applyBorder="1" applyAlignment="1">
      <alignment horizontal="center" vertical="center" wrapText="1"/>
    </xf>
    <xf numFmtId="49" fontId="27" fillId="0" borderId="30" xfId="0" applyNumberFormat="1" applyFont="1" applyBorder="1" applyAlignment="1">
      <alignment horizontal="center" vertical="center" wrapText="1"/>
    </xf>
    <xf numFmtId="0" fontId="10" fillId="0" borderId="35" xfId="0" applyFont="1" applyBorder="1" applyAlignment="1">
      <alignment vertical="center" wrapText="1"/>
    </xf>
    <xf numFmtId="0" fontId="28" fillId="0" borderId="30" xfId="0" applyFont="1" applyBorder="1" applyAlignment="1">
      <alignment horizontal="left" vertical="center"/>
    </xf>
    <xf numFmtId="0" fontId="6" fillId="0" borderId="38" xfId="0" applyFont="1" applyBorder="1" applyAlignment="1">
      <alignment horizontal="center" vertical="center"/>
    </xf>
    <xf numFmtId="49" fontId="27" fillId="0" borderId="40" xfId="0" applyNumberFormat="1" applyFont="1" applyBorder="1" applyAlignment="1">
      <alignment horizontal="center" vertical="center" wrapText="1"/>
    </xf>
    <xf numFmtId="49" fontId="27" fillId="0" borderId="41" xfId="0" applyNumberFormat="1" applyFont="1" applyBorder="1" applyAlignment="1">
      <alignment horizontal="center" vertical="center" wrapText="1"/>
    </xf>
    <xf numFmtId="0" fontId="10" fillId="0" borderId="42" xfId="0" applyFont="1" applyBorder="1" applyAlignment="1">
      <alignment vertical="center"/>
    </xf>
    <xf numFmtId="0" fontId="6" fillId="0" borderId="43" xfId="0" applyFont="1" applyBorder="1" applyAlignment="1">
      <alignment horizontal="center" vertical="center"/>
    </xf>
    <xf numFmtId="0" fontId="10" fillId="0" borderId="35" xfId="0" applyFont="1" applyBorder="1" applyAlignment="1">
      <alignment vertical="center"/>
    </xf>
    <xf numFmtId="4" fontId="10" fillId="0" borderId="30" xfId="0" applyNumberFormat="1" applyFont="1" applyBorder="1" applyAlignment="1">
      <alignment horizontal="right" vertical="center"/>
    </xf>
    <xf numFmtId="49" fontId="9" fillId="0" borderId="40" xfId="0" applyNumberFormat="1" applyFont="1" applyBorder="1" applyAlignment="1">
      <alignment horizontal="center" vertical="center" wrapText="1"/>
    </xf>
    <xf numFmtId="49" fontId="9" fillId="0" borderId="41" xfId="0" applyNumberFormat="1" applyFont="1" applyBorder="1" applyAlignment="1">
      <alignment horizontal="center" vertical="center" wrapText="1"/>
    </xf>
    <xf numFmtId="0" fontId="6" fillId="0" borderId="42" xfId="0" applyFont="1" applyBorder="1" applyAlignment="1">
      <alignment vertical="center"/>
    </xf>
    <xf numFmtId="0" fontId="5" fillId="0" borderId="30" xfId="0" applyFont="1" applyBorder="1" applyAlignment="1">
      <alignment horizontal="left" vertical="center"/>
    </xf>
    <xf numFmtId="4" fontId="6" fillId="0" borderId="30" xfId="0" applyNumberFormat="1" applyFont="1" applyBorder="1" applyAlignment="1">
      <alignment horizontal="center" vertical="center"/>
    </xf>
    <xf numFmtId="0" fontId="6" fillId="0" borderId="44" xfId="0" applyFont="1" applyBorder="1" applyAlignment="1">
      <alignment horizontal="center" vertical="center"/>
    </xf>
    <xf numFmtId="0" fontId="0" fillId="0" borderId="10" xfId="0" applyBorder="1" applyAlignment="1">
      <alignment horizontal="right" vertical="top"/>
    </xf>
    <xf numFmtId="0" fontId="0" fillId="0" borderId="10" xfId="0" applyBorder="1" applyAlignment="1">
      <alignment horizontal="right" vertical="top" wrapText="1"/>
    </xf>
    <xf numFmtId="0" fontId="6" fillId="0" borderId="35" xfId="0" applyFont="1" applyBorder="1" applyAlignment="1">
      <alignment horizontal="center" vertical="center"/>
    </xf>
    <xf numFmtId="0" fontId="6" fillId="0" borderId="30" xfId="0" applyFont="1" applyBorder="1" applyAlignment="1">
      <alignment horizontal="center" vertical="center"/>
    </xf>
    <xf numFmtId="0" fontId="32" fillId="0" borderId="0" xfId="0" applyFont="1" applyAlignment="1">
      <alignment vertical="center"/>
    </xf>
    <xf numFmtId="0" fontId="6" fillId="0" borderId="42" xfId="0" applyFont="1" applyBorder="1" applyAlignment="1">
      <alignment horizontal="center" vertical="center"/>
    </xf>
    <xf numFmtId="0" fontId="6" fillId="0" borderId="41" xfId="0" applyFont="1" applyBorder="1" applyAlignment="1">
      <alignment horizontal="center" vertical="center"/>
    </xf>
    <xf numFmtId="0" fontId="6" fillId="0" borderId="45" xfId="0" applyFont="1" applyBorder="1" applyAlignment="1">
      <alignment horizontal="center" vertical="center"/>
    </xf>
    <xf numFmtId="0" fontId="6" fillId="0" borderId="0" xfId="0" applyFont="1" applyAlignment="1">
      <alignment vertical="center"/>
    </xf>
    <xf numFmtId="49" fontId="9" fillId="0" borderId="34" xfId="0" applyNumberFormat="1" applyFont="1" applyBorder="1" applyAlignment="1">
      <alignment horizontal="center" vertical="center" wrapText="1"/>
    </xf>
    <xf numFmtId="49" fontId="9" fillId="0" borderId="30" xfId="0" applyNumberFormat="1" applyFont="1" applyBorder="1" applyAlignment="1">
      <alignment horizontal="center" vertical="center" wrapText="1"/>
    </xf>
    <xf numFmtId="0" fontId="6" fillId="0" borderId="35" xfId="0" applyFont="1" applyBorder="1" applyAlignment="1">
      <alignment vertical="center"/>
    </xf>
    <xf numFmtId="4" fontId="6" fillId="0" borderId="30" xfId="0" applyNumberFormat="1" applyFont="1" applyBorder="1" applyAlignment="1">
      <alignment horizontal="right" vertical="center"/>
    </xf>
    <xf numFmtId="0" fontId="6" fillId="0" borderId="46" xfId="0" applyFont="1" applyBorder="1" applyAlignment="1">
      <alignment horizontal="center" vertical="center"/>
    </xf>
    <xf numFmtId="49" fontId="9" fillId="6" borderId="40" xfId="0" applyNumberFormat="1" applyFont="1" applyFill="1" applyBorder="1" applyAlignment="1">
      <alignment horizontal="center" vertical="center" wrapText="1"/>
    </xf>
    <xf numFmtId="49" fontId="9" fillId="6" borderId="41" xfId="0" applyNumberFormat="1" applyFont="1" applyFill="1" applyBorder="1" applyAlignment="1">
      <alignment horizontal="center" vertical="center" wrapText="1"/>
    </xf>
    <xf numFmtId="0" fontId="6" fillId="6" borderId="42" xfId="0" applyFont="1" applyFill="1" applyBorder="1" applyAlignment="1">
      <alignment vertical="center"/>
    </xf>
    <xf numFmtId="0" fontId="5" fillId="6" borderId="30" xfId="0" applyFont="1" applyFill="1" applyBorder="1" applyAlignment="1">
      <alignment horizontal="left" vertical="center"/>
    </xf>
    <xf numFmtId="4" fontId="6" fillId="6" borderId="30" xfId="0" applyNumberFormat="1" applyFont="1" applyFill="1" applyBorder="1" applyAlignment="1">
      <alignment horizontal="center" vertical="center"/>
    </xf>
    <xf numFmtId="4" fontId="9" fillId="6" borderId="31" xfId="0" applyNumberFormat="1" applyFont="1" applyFill="1" applyBorder="1" applyAlignment="1">
      <alignment horizontal="right" vertical="top"/>
    </xf>
    <xf numFmtId="49" fontId="4" fillId="0" borderId="30" xfId="0" applyNumberFormat="1" applyFont="1" applyBorder="1" applyAlignment="1">
      <alignment horizontal="left" vertical="top" wrapText="1"/>
    </xf>
    <xf numFmtId="4" fontId="9" fillId="0" borderId="30" xfId="0" applyNumberFormat="1" applyFont="1" applyBorder="1" applyAlignment="1">
      <alignment horizontal="right" vertical="top" wrapText="1"/>
    </xf>
    <xf numFmtId="168" fontId="9" fillId="0" borderId="33" xfId="0" applyNumberFormat="1" applyFont="1" applyBorder="1" applyAlignment="1">
      <alignment horizontal="right" vertical="top" wrapText="1"/>
    </xf>
    <xf numFmtId="0" fontId="27" fillId="11" borderId="34" xfId="0" applyFont="1" applyFill="1" applyBorder="1" applyAlignment="1">
      <alignment horizontal="left"/>
    </xf>
    <xf numFmtId="0" fontId="27" fillId="11" borderId="30" xfId="0" applyFont="1" applyFill="1" applyBorder="1" applyAlignment="1">
      <alignment horizontal="left" wrapText="1"/>
    </xf>
    <xf numFmtId="0" fontId="27" fillId="11" borderId="35" xfId="0" applyFont="1" applyFill="1" applyBorder="1" applyAlignment="1">
      <alignment horizontal="left" wrapText="1"/>
    </xf>
    <xf numFmtId="0" fontId="30" fillId="11" borderId="30" xfId="0" applyFont="1" applyFill="1" applyBorder="1" applyAlignment="1">
      <alignment horizontal="center" wrapText="1"/>
    </xf>
    <xf numFmtId="4" fontId="27" fillId="11" borderId="30" xfId="0" applyNumberFormat="1" applyFont="1" applyFill="1" applyBorder="1" applyAlignment="1">
      <alignment horizontal="right" wrapText="1"/>
    </xf>
    <xf numFmtId="4" fontId="31" fillId="11" borderId="31" xfId="0" applyNumberFormat="1" applyFont="1" applyFill="1" applyBorder="1"/>
    <xf numFmtId="168" fontId="9" fillId="12" borderId="33" xfId="0" applyNumberFormat="1" applyFont="1" applyFill="1" applyBorder="1" applyAlignment="1">
      <alignment wrapText="1"/>
    </xf>
    <xf numFmtId="0" fontId="9" fillId="12" borderId="34" xfId="0" applyFont="1" applyFill="1" applyBorder="1" applyAlignment="1">
      <alignment horizontal="left"/>
    </xf>
    <xf numFmtId="0" fontId="9" fillId="12" borderId="30" xfId="0" applyFont="1" applyFill="1" applyBorder="1" applyAlignment="1">
      <alignment horizontal="left"/>
    </xf>
    <xf numFmtId="0" fontId="9" fillId="12" borderId="35" xfId="0" applyFont="1" applyFill="1" applyBorder="1" applyAlignment="1">
      <alignment horizontal="left"/>
    </xf>
    <xf numFmtId="0" fontId="4" fillId="12" borderId="30" xfId="0" applyFont="1" applyFill="1" applyBorder="1" applyAlignment="1">
      <alignment horizontal="left"/>
    </xf>
    <xf numFmtId="4" fontId="9" fillId="12" borderId="30" xfId="0" applyNumberFormat="1" applyFont="1" applyFill="1" applyBorder="1" applyAlignment="1">
      <alignment horizontal="right"/>
    </xf>
    <xf numFmtId="4" fontId="9" fillId="12" borderId="31" xfId="0" applyNumberFormat="1" applyFont="1" applyFill="1" applyBorder="1" applyAlignment="1">
      <alignment horizontal="right"/>
    </xf>
    <xf numFmtId="0" fontId="9" fillId="12" borderId="33" xfId="0" applyFont="1" applyFill="1" applyBorder="1" applyAlignment="1">
      <alignment horizontal="right"/>
    </xf>
    <xf numFmtId="0" fontId="27" fillId="11" borderId="30" xfId="0" applyFont="1" applyFill="1" applyBorder="1" applyAlignment="1">
      <alignment horizontal="left"/>
    </xf>
    <xf numFmtId="0" fontId="27" fillId="11" borderId="35" xfId="0" applyFont="1" applyFill="1" applyBorder="1" applyAlignment="1">
      <alignment horizontal="left"/>
    </xf>
    <xf numFmtId="0" fontId="30" fillId="11" borderId="30" xfId="0" applyFont="1" applyFill="1" applyBorder="1" applyAlignment="1">
      <alignment horizontal="center"/>
    </xf>
    <xf numFmtId="4" fontId="27" fillId="11" borderId="30" xfId="0" applyNumberFormat="1" applyFont="1" applyFill="1" applyBorder="1"/>
    <xf numFmtId="168" fontId="9" fillId="12" borderId="33" xfId="0" applyNumberFormat="1" applyFont="1" applyFill="1" applyBorder="1"/>
    <xf numFmtId="4" fontId="27" fillId="11" borderId="30" xfId="0" applyNumberFormat="1" applyFont="1" applyFill="1" applyBorder="1" applyAlignment="1">
      <alignment wrapText="1"/>
    </xf>
    <xf numFmtId="4" fontId="31" fillId="11" borderId="31" xfId="0" applyNumberFormat="1" applyFont="1" applyFill="1" applyBorder="1" applyAlignment="1">
      <alignment wrapText="1"/>
    </xf>
    <xf numFmtId="0" fontId="38" fillId="3" borderId="34" xfId="0" applyFont="1" applyFill="1" applyBorder="1" applyAlignment="1">
      <alignment horizontal="left"/>
    </xf>
    <xf numFmtId="0" fontId="38" fillId="3" borderId="30" xfId="0" applyFont="1" applyFill="1" applyBorder="1" applyAlignment="1">
      <alignment horizontal="left" wrapText="1"/>
    </xf>
    <xf numFmtId="0" fontId="38" fillId="3" borderId="35" xfId="0" applyFont="1" applyFill="1" applyBorder="1" applyAlignment="1">
      <alignment horizontal="left" wrapText="1"/>
    </xf>
    <xf numFmtId="0" fontId="49" fillId="3" borderId="30" xfId="0" applyFont="1" applyFill="1" applyBorder="1" applyAlignment="1">
      <alignment horizontal="center" wrapText="1"/>
    </xf>
    <xf numFmtId="4" fontId="38" fillId="3" borderId="30" xfId="0" applyNumberFormat="1" applyFont="1" applyFill="1" applyBorder="1" applyAlignment="1">
      <alignment wrapText="1"/>
    </xf>
    <xf numFmtId="4" fontId="37" fillId="3" borderId="31" xfId="0" applyNumberFormat="1" applyFont="1" applyFill="1" applyBorder="1" applyAlignment="1">
      <alignment wrapText="1"/>
    </xf>
    <xf numFmtId="168" fontId="33" fillId="3" borderId="33" xfId="0" applyNumberFormat="1" applyFont="1" applyFill="1" applyBorder="1" applyAlignment="1">
      <alignment wrapText="1"/>
    </xf>
    <xf numFmtId="0" fontId="10" fillId="3" borderId="34" xfId="0" applyFont="1" applyFill="1" applyBorder="1" applyAlignment="1">
      <alignment horizontal="left"/>
    </xf>
    <xf numFmtId="0" fontId="10" fillId="3" borderId="30" xfId="0" applyFont="1" applyFill="1" applyBorder="1" applyAlignment="1">
      <alignment horizontal="left" wrapText="1"/>
    </xf>
    <xf numFmtId="0" fontId="10" fillId="3" borderId="35" xfId="0" applyFont="1" applyFill="1" applyBorder="1" applyAlignment="1">
      <alignment horizontal="left" wrapText="1"/>
    </xf>
    <xf numFmtId="0" fontId="28" fillId="3" borderId="30" xfId="0" applyFont="1" applyFill="1" applyBorder="1" applyAlignment="1">
      <alignment horizontal="center" wrapText="1"/>
    </xf>
    <xf numFmtId="4" fontId="10" fillId="3" borderId="30" xfId="0" applyNumberFormat="1" applyFont="1" applyFill="1" applyBorder="1" applyAlignment="1">
      <alignment wrapText="1"/>
    </xf>
    <xf numFmtId="4" fontId="32" fillId="3" borderId="31" xfId="0" applyNumberFormat="1" applyFont="1" applyFill="1" applyBorder="1" applyAlignment="1">
      <alignment wrapText="1"/>
    </xf>
    <xf numFmtId="168" fontId="6" fillId="3" borderId="33" xfId="0" applyNumberFormat="1" applyFont="1" applyFill="1" applyBorder="1" applyAlignment="1">
      <alignment wrapText="1"/>
    </xf>
    <xf numFmtId="0" fontId="6" fillId="0" borderId="34" xfId="0" applyFont="1" applyBorder="1" applyAlignment="1">
      <alignment horizontal="left"/>
    </xf>
    <xf numFmtId="0" fontId="6" fillId="0" borderId="30" xfId="0" applyFont="1" applyBorder="1" applyAlignment="1">
      <alignment horizontal="left" wrapText="1"/>
    </xf>
    <xf numFmtId="0" fontId="6" fillId="0" borderId="35" xfId="0" applyFont="1" applyBorder="1" applyAlignment="1">
      <alignment horizontal="left" wrapText="1"/>
    </xf>
    <xf numFmtId="0" fontId="5" fillId="0" borderId="30" xfId="0" applyFont="1" applyBorder="1" applyAlignment="1">
      <alignment horizontal="left" wrapText="1"/>
    </xf>
    <xf numFmtId="4" fontId="6" fillId="0" borderId="30" xfId="0" applyNumberFormat="1" applyFont="1" applyBorder="1" applyAlignment="1">
      <alignment horizontal="right" wrapText="1"/>
    </xf>
    <xf numFmtId="4" fontId="6" fillId="0" borderId="31" xfId="0" applyNumberFormat="1" applyFont="1" applyBorder="1" applyAlignment="1">
      <alignment horizontal="right"/>
    </xf>
    <xf numFmtId="0" fontId="6" fillId="0" borderId="33" xfId="0" applyFont="1" applyBorder="1" applyAlignment="1">
      <alignment horizontal="right" wrapText="1"/>
    </xf>
    <xf numFmtId="0" fontId="10" fillId="0" borderId="34" xfId="0" applyFont="1" applyBorder="1" applyAlignment="1">
      <alignment horizontal="left"/>
    </xf>
    <xf numFmtId="0" fontId="10" fillId="0" borderId="30" xfId="0" applyFont="1" applyBorder="1" applyAlignment="1">
      <alignment horizontal="left" wrapText="1"/>
    </xf>
    <xf numFmtId="0" fontId="10" fillId="0" borderId="35" xfId="0" applyFont="1" applyBorder="1" applyAlignment="1">
      <alignment horizontal="left" wrapText="1"/>
    </xf>
    <xf numFmtId="0" fontId="28" fillId="0" borderId="30" xfId="0" applyFont="1" applyBorder="1" applyAlignment="1">
      <alignment horizontal="center" wrapText="1"/>
    </xf>
    <xf numFmtId="4" fontId="10" fillId="0" borderId="30" xfId="0" applyNumberFormat="1" applyFont="1" applyBorder="1" applyAlignment="1">
      <alignment wrapText="1"/>
    </xf>
    <xf numFmtId="4" fontId="32" fillId="0" borderId="31" xfId="0" applyNumberFormat="1" applyFont="1" applyBorder="1" applyAlignment="1">
      <alignment horizontal="right"/>
    </xf>
    <xf numFmtId="4" fontId="6" fillId="0" borderId="33" xfId="0" applyNumberFormat="1" applyFont="1" applyBorder="1" applyAlignment="1">
      <alignment wrapText="1"/>
    </xf>
    <xf numFmtId="168" fontId="6" fillId="0" borderId="33" xfId="0" applyNumberFormat="1" applyFont="1" applyBorder="1" applyAlignment="1">
      <alignment wrapText="1"/>
    </xf>
    <xf numFmtId="0" fontId="5" fillId="0" borderId="34" xfId="0" applyFont="1" applyBorder="1" applyAlignment="1">
      <alignment horizontal="left"/>
    </xf>
    <xf numFmtId="0" fontId="5" fillId="0" borderId="35" xfId="0" applyFont="1" applyBorder="1" applyAlignment="1">
      <alignment horizontal="left" indent="2"/>
    </xf>
    <xf numFmtId="0" fontId="5" fillId="0" borderId="29" xfId="0" applyFont="1" applyBorder="1" applyAlignment="1">
      <alignment horizontal="left" wrapText="1"/>
    </xf>
    <xf numFmtId="0" fontId="5" fillId="0" borderId="30" xfId="0" applyFont="1" applyBorder="1" applyAlignment="1">
      <alignment horizontal="center" wrapText="1"/>
    </xf>
    <xf numFmtId="4" fontId="5" fillId="0" borderId="30" xfId="0" applyNumberFormat="1" applyFont="1" applyBorder="1" applyAlignment="1">
      <alignment wrapText="1"/>
    </xf>
    <xf numFmtId="4" fontId="5" fillId="0" borderId="31" xfId="0" applyNumberFormat="1" applyFont="1" applyBorder="1" applyAlignment="1">
      <alignment horizontal="right"/>
    </xf>
    <xf numFmtId="4" fontId="6" fillId="0" borderId="30" xfId="0" applyNumberFormat="1" applyFont="1" applyBorder="1" applyAlignment="1">
      <alignment wrapText="1"/>
    </xf>
    <xf numFmtId="168" fontId="17" fillId="0" borderId="33" xfId="0" applyNumberFormat="1" applyFont="1" applyBorder="1" applyAlignment="1">
      <alignment wrapText="1"/>
    </xf>
    <xf numFmtId="4" fontId="10" fillId="0" borderId="30" xfId="0" applyNumberFormat="1" applyFont="1" applyBorder="1" applyAlignment="1">
      <alignment horizontal="right"/>
    </xf>
    <xf numFmtId="168" fontId="6" fillId="0" borderId="33" xfId="0" applyNumberFormat="1" applyFont="1" applyBorder="1" applyAlignment="1">
      <alignment horizontal="right"/>
    </xf>
    <xf numFmtId="0" fontId="6" fillId="0" borderId="30" xfId="0" applyFont="1" applyBorder="1" applyAlignment="1">
      <alignment horizontal="left"/>
    </xf>
    <xf numFmtId="0" fontId="6" fillId="0" borderId="35" xfId="0" applyFont="1" applyBorder="1" applyAlignment="1">
      <alignment horizontal="left"/>
    </xf>
    <xf numFmtId="0" fontId="6" fillId="0" borderId="29" xfId="0" applyFont="1" applyBorder="1" applyAlignment="1">
      <alignment horizontal="left" wrapText="1"/>
    </xf>
    <xf numFmtId="0" fontId="17" fillId="0" borderId="35" xfId="0" applyFont="1" applyBorder="1" applyAlignment="1">
      <alignment horizontal="left" wrapText="1"/>
    </xf>
    <xf numFmtId="0" fontId="28" fillId="0" borderId="30" xfId="0" applyFont="1" applyBorder="1" applyAlignment="1">
      <alignment horizontal="left" wrapText="1"/>
    </xf>
    <xf numFmtId="4" fontId="17" fillId="0" borderId="30" xfId="0" applyNumberFormat="1" applyFont="1" applyBorder="1" applyAlignment="1">
      <alignment wrapText="1"/>
    </xf>
    <xf numFmtId="0" fontId="38" fillId="0" borderId="34" xfId="0" applyFont="1" applyBorder="1" applyAlignment="1">
      <alignment horizontal="left"/>
    </xf>
    <xf numFmtId="0" fontId="38" fillId="0" borderId="35" xfId="0" applyFont="1" applyBorder="1" applyAlignment="1">
      <alignment horizontal="left" wrapText="1"/>
    </xf>
    <xf numFmtId="0" fontId="49" fillId="0" borderId="30" xfId="0" applyFont="1" applyBorder="1" applyAlignment="1">
      <alignment horizontal="left" wrapText="1"/>
    </xf>
    <xf numFmtId="4" fontId="38" fillId="0" borderId="30" xfId="0" applyNumberFormat="1" applyFont="1" applyBorder="1" applyAlignment="1">
      <alignment wrapText="1"/>
    </xf>
    <xf numFmtId="4" fontId="37" fillId="0" borderId="31" xfId="0" applyNumberFormat="1" applyFont="1" applyBorder="1" applyAlignment="1">
      <alignment horizontal="right"/>
    </xf>
    <xf numFmtId="0" fontId="10" fillId="0" borderId="38" xfId="0" applyFont="1" applyBorder="1" applyAlignment="1">
      <alignment horizontal="left" wrapText="1"/>
    </xf>
    <xf numFmtId="0" fontId="5" fillId="0" borderId="30" xfId="0" applyFont="1" applyBorder="1" applyAlignment="1">
      <alignment horizontal="left"/>
    </xf>
    <xf numFmtId="4" fontId="17" fillId="0" borderId="30" xfId="0" applyNumberFormat="1" applyFont="1" applyBorder="1"/>
    <xf numFmtId="168" fontId="6" fillId="0" borderId="33" xfId="0" applyNumberFormat="1" applyFont="1" applyBorder="1"/>
    <xf numFmtId="0" fontId="33" fillId="3" borderId="34" xfId="0" applyFont="1" applyFill="1" applyBorder="1" applyAlignment="1">
      <alignment horizontal="left"/>
    </xf>
    <xf numFmtId="0" fontId="33" fillId="3" borderId="30" xfId="0" applyFont="1" applyFill="1" applyBorder="1" applyAlignment="1">
      <alignment horizontal="left" wrapText="1"/>
    </xf>
    <xf numFmtId="0" fontId="33" fillId="3" borderId="35" xfId="0" applyFont="1" applyFill="1" applyBorder="1" applyAlignment="1">
      <alignment horizontal="left" wrapText="1"/>
    </xf>
    <xf numFmtId="0" fontId="22" fillId="3" borderId="30" xfId="0" applyFont="1" applyFill="1" applyBorder="1" applyAlignment="1">
      <alignment horizontal="left" wrapText="1"/>
    </xf>
    <xf numFmtId="4" fontId="33" fillId="3" borderId="30" xfId="0" applyNumberFormat="1" applyFont="1" applyFill="1" applyBorder="1" applyAlignment="1">
      <alignment horizontal="right" wrapText="1"/>
    </xf>
    <xf numFmtId="4" fontId="33" fillId="3" borderId="31" xfId="0" applyNumberFormat="1" applyFont="1" applyFill="1" applyBorder="1" applyAlignment="1">
      <alignment horizontal="right" wrapText="1"/>
    </xf>
    <xf numFmtId="4" fontId="33" fillId="3" borderId="33" xfId="0" applyNumberFormat="1" applyFont="1" applyFill="1" applyBorder="1" applyAlignment="1">
      <alignment horizontal="right" wrapText="1"/>
    </xf>
    <xf numFmtId="0" fontId="27" fillId="3" borderId="34" xfId="0" applyFont="1" applyFill="1" applyBorder="1" applyAlignment="1">
      <alignment horizontal="left"/>
    </xf>
    <xf numFmtId="0" fontId="27" fillId="3" borderId="30" xfId="0" applyFont="1" applyFill="1" applyBorder="1" applyAlignment="1">
      <alignment horizontal="left"/>
    </xf>
    <xf numFmtId="0" fontId="27" fillId="3" borderId="35" xfId="0" applyFont="1" applyFill="1" applyBorder="1" applyAlignment="1">
      <alignment horizontal="left"/>
    </xf>
    <xf numFmtId="0" fontId="30" fillId="3" borderId="30" xfId="0" applyFont="1" applyFill="1" applyBorder="1" applyAlignment="1">
      <alignment horizontal="center"/>
    </xf>
    <xf numFmtId="4" fontId="27" fillId="3" borderId="30" xfId="0" applyNumberFormat="1" applyFont="1" applyFill="1" applyBorder="1"/>
    <xf numFmtId="4" fontId="31" fillId="3" borderId="31" xfId="0" applyNumberFormat="1" applyFont="1" applyFill="1" applyBorder="1"/>
    <xf numFmtId="168" fontId="9" fillId="3" borderId="33" xfId="0" applyNumberFormat="1" applyFont="1" applyFill="1" applyBorder="1"/>
    <xf numFmtId="0" fontId="6" fillId="0" borderId="47" xfId="0" applyFont="1" applyBorder="1" applyAlignment="1">
      <alignment horizontal="center" vertical="center"/>
    </xf>
    <xf numFmtId="3" fontId="9" fillId="6" borderId="0" xfId="0" applyNumberFormat="1" applyFont="1" applyFill="1" applyAlignment="1">
      <alignment vertical="top"/>
    </xf>
    <xf numFmtId="168" fontId="9" fillId="0" borderId="10" xfId="0" applyNumberFormat="1" applyFont="1" applyBorder="1" applyAlignment="1">
      <alignment horizontal="right" vertical="top" wrapText="1"/>
    </xf>
    <xf numFmtId="168" fontId="9" fillId="12" borderId="10" xfId="0" applyNumberFormat="1" applyFont="1" applyFill="1" applyBorder="1" applyAlignment="1">
      <alignment wrapText="1"/>
    </xf>
    <xf numFmtId="0" fontId="9" fillId="12" borderId="10" xfId="0" applyFont="1" applyFill="1" applyBorder="1" applyAlignment="1">
      <alignment horizontal="right"/>
    </xf>
    <xf numFmtId="168" fontId="9" fillId="12" borderId="10" xfId="0" applyNumberFormat="1" applyFont="1" applyFill="1" applyBorder="1"/>
    <xf numFmtId="168" fontId="33" fillId="3" borderId="10" xfId="0" applyNumberFormat="1" applyFont="1" applyFill="1" applyBorder="1" applyAlignment="1">
      <alignment wrapText="1"/>
    </xf>
    <xf numFmtId="168" fontId="6" fillId="3" borderId="10" xfId="0" applyNumberFormat="1" applyFont="1" applyFill="1" applyBorder="1" applyAlignment="1">
      <alignment wrapText="1"/>
    </xf>
    <xf numFmtId="0" fontId="6" fillId="0" borderId="10" xfId="0" applyFont="1" applyBorder="1" applyAlignment="1">
      <alignment horizontal="right" wrapText="1"/>
    </xf>
    <xf numFmtId="4" fontId="6" fillId="0" borderId="10" xfId="0" applyNumberFormat="1" applyFont="1" applyBorder="1" applyAlignment="1">
      <alignment wrapText="1"/>
    </xf>
    <xf numFmtId="168" fontId="6" fillId="0" borderId="10" xfId="0" applyNumberFormat="1" applyFont="1" applyBorder="1" applyAlignment="1">
      <alignment wrapText="1"/>
    </xf>
    <xf numFmtId="0" fontId="50" fillId="7" borderId="0" xfId="0" applyFont="1" applyFill="1"/>
    <xf numFmtId="3" fontId="4" fillId="0" borderId="0" xfId="0" applyNumberFormat="1" applyFont="1" applyAlignment="1">
      <alignment vertical="top"/>
    </xf>
    <xf numFmtId="168" fontId="17" fillId="0" borderId="10" xfId="0" applyNumberFormat="1" applyFont="1" applyBorder="1" applyAlignment="1">
      <alignment wrapText="1"/>
    </xf>
    <xf numFmtId="168" fontId="6" fillId="0" borderId="10" xfId="0" applyNumberFormat="1" applyFont="1" applyBorder="1" applyAlignment="1">
      <alignment horizontal="right"/>
    </xf>
    <xf numFmtId="3" fontId="35" fillId="0" borderId="0" xfId="0" applyNumberFormat="1" applyFont="1" applyAlignment="1">
      <alignment vertical="top"/>
    </xf>
    <xf numFmtId="168" fontId="6" fillId="0" borderId="10" xfId="0" applyNumberFormat="1" applyFont="1" applyBorder="1"/>
    <xf numFmtId="4" fontId="33" fillId="3" borderId="10" xfId="0" applyNumberFormat="1" applyFont="1" applyFill="1" applyBorder="1" applyAlignment="1">
      <alignment horizontal="right" wrapText="1"/>
    </xf>
    <xf numFmtId="168" fontId="9" fillId="3" borderId="10" xfId="0" applyNumberFormat="1" applyFont="1" applyFill="1" applyBorder="1"/>
    <xf numFmtId="4" fontId="31" fillId="6" borderId="0" xfId="0" applyNumberFormat="1" applyFont="1" applyFill="1" applyAlignment="1">
      <alignment vertical="top"/>
    </xf>
    <xf numFmtId="0" fontId="9" fillId="3" borderId="34" xfId="0" applyFont="1" applyFill="1" applyBorder="1" applyAlignment="1">
      <alignment horizontal="left"/>
    </xf>
    <xf numFmtId="0" fontId="9" fillId="3" borderId="30" xfId="0" applyFont="1" applyFill="1" applyBorder="1" applyAlignment="1">
      <alignment horizontal="left"/>
    </xf>
    <xf numFmtId="0" fontId="9" fillId="3" borderId="35" xfId="0" applyFont="1" applyFill="1" applyBorder="1" applyAlignment="1">
      <alignment horizontal="left"/>
    </xf>
    <xf numFmtId="0" fontId="4" fillId="3" borderId="30" xfId="0" applyFont="1" applyFill="1" applyBorder="1" applyAlignment="1">
      <alignment horizontal="left"/>
    </xf>
    <xf numFmtId="4" fontId="9" fillId="3" borderId="30" xfId="0" applyNumberFormat="1" applyFont="1" applyFill="1" applyBorder="1"/>
    <xf numFmtId="4" fontId="9" fillId="3" borderId="31" xfId="0" applyNumberFormat="1" applyFont="1" applyFill="1" applyBorder="1" applyAlignment="1">
      <alignment horizontal="right"/>
    </xf>
    <xf numFmtId="0" fontId="9" fillId="3" borderId="33" xfId="0" applyFont="1" applyFill="1" applyBorder="1" applyAlignment="1">
      <alignment horizontal="right"/>
    </xf>
    <xf numFmtId="49" fontId="33" fillId="3" borderId="34" xfId="0" applyNumberFormat="1" applyFont="1" applyFill="1" applyBorder="1"/>
    <xf numFmtId="49" fontId="33" fillId="3" borderId="30" xfId="0" applyNumberFormat="1" applyFont="1" applyFill="1" applyBorder="1" applyAlignment="1">
      <alignment wrapText="1"/>
    </xf>
    <xf numFmtId="49" fontId="33" fillId="3" borderId="35" xfId="0" applyNumberFormat="1" applyFont="1" applyFill="1" applyBorder="1" applyAlignment="1">
      <alignment wrapText="1"/>
    </xf>
    <xf numFmtId="49" fontId="22" fillId="3" borderId="30" xfId="0" applyNumberFormat="1" applyFont="1" applyFill="1" applyBorder="1" applyAlignment="1">
      <alignment horizontal="center" wrapText="1"/>
    </xf>
    <xf numFmtId="168" fontId="33" fillId="3" borderId="33" xfId="0" applyNumberFormat="1" applyFont="1" applyFill="1" applyBorder="1" applyAlignment="1">
      <alignment horizontal="right" wrapText="1"/>
    </xf>
    <xf numFmtId="0" fontId="9" fillId="0" borderId="35" xfId="0" applyFont="1" applyBorder="1" applyAlignment="1">
      <alignment horizontal="left" wrapText="1"/>
    </xf>
    <xf numFmtId="4" fontId="17" fillId="0" borderId="30" xfId="0" applyNumberFormat="1" applyFont="1" applyBorder="1" applyAlignment="1">
      <alignment horizontal="right"/>
    </xf>
    <xf numFmtId="0" fontId="34" fillId="0" borderId="35" xfId="0" applyFont="1" applyBorder="1" applyAlignment="1">
      <alignment horizontal="left" wrapText="1"/>
    </xf>
    <xf numFmtId="4" fontId="6" fillId="0" borderId="30" xfId="0" applyNumberFormat="1" applyFont="1" applyBorder="1" applyAlignment="1">
      <alignment horizontal="right"/>
    </xf>
    <xf numFmtId="0" fontId="38" fillId="3" borderId="34" xfId="0" applyFont="1" applyFill="1" applyBorder="1"/>
    <xf numFmtId="0" fontId="38" fillId="3" borderId="30" xfId="0" applyFont="1" applyFill="1" applyBorder="1" applyAlignment="1">
      <alignment wrapText="1"/>
    </xf>
    <xf numFmtId="0" fontId="38" fillId="3" borderId="35" xfId="0" applyFont="1" applyFill="1" applyBorder="1" applyAlignment="1">
      <alignment wrapText="1"/>
    </xf>
    <xf numFmtId="4" fontId="33" fillId="3" borderId="33" xfId="0" applyNumberFormat="1" applyFont="1" applyFill="1" applyBorder="1" applyAlignment="1">
      <alignment wrapText="1"/>
    </xf>
    <xf numFmtId="0" fontId="33" fillId="3" borderId="34" xfId="0" applyFont="1" applyFill="1" applyBorder="1"/>
    <xf numFmtId="0" fontId="33" fillId="3" borderId="30" xfId="0" applyFont="1" applyFill="1" applyBorder="1" applyAlignment="1">
      <alignment wrapText="1"/>
    </xf>
    <xf numFmtId="0" fontId="33" fillId="3" borderId="35" xfId="0" applyFont="1" applyFill="1" applyBorder="1" applyAlignment="1">
      <alignment wrapText="1"/>
    </xf>
    <xf numFmtId="0" fontId="22" fillId="3" borderId="30" xfId="0" applyFont="1" applyFill="1" applyBorder="1" applyAlignment="1">
      <alignment wrapText="1"/>
    </xf>
    <xf numFmtId="4" fontId="33" fillId="3" borderId="30" xfId="0" applyNumberFormat="1" applyFont="1" applyFill="1" applyBorder="1" applyAlignment="1">
      <alignment wrapText="1"/>
    </xf>
    <xf numFmtId="4" fontId="33" fillId="3" borderId="31" xfId="0" applyNumberFormat="1" applyFont="1" applyFill="1" applyBorder="1" applyAlignment="1">
      <alignment wrapText="1"/>
    </xf>
    <xf numFmtId="0" fontId="9" fillId="0" borderId="34" xfId="0" applyFont="1" applyBorder="1" applyAlignment="1">
      <alignment horizontal="left"/>
    </xf>
    <xf numFmtId="0" fontId="9" fillId="0" borderId="30" xfId="0" applyFont="1" applyBorder="1" applyAlignment="1">
      <alignment horizontal="left"/>
    </xf>
    <xf numFmtId="0" fontId="9" fillId="0" borderId="35" xfId="0" applyFont="1" applyBorder="1" applyAlignment="1">
      <alignment horizontal="left"/>
    </xf>
    <xf numFmtId="0" fontId="4" fillId="0" borderId="30" xfId="0" applyFont="1" applyBorder="1" applyAlignment="1">
      <alignment horizontal="left"/>
    </xf>
    <xf numFmtId="4" fontId="9" fillId="0" borderId="30" xfId="0" applyNumberFormat="1" applyFont="1" applyBorder="1" applyAlignment="1">
      <alignment horizontal="right"/>
    </xf>
    <xf numFmtId="4" fontId="9" fillId="0" borderId="31" xfId="0" applyNumberFormat="1" applyFont="1" applyBorder="1" applyAlignment="1">
      <alignment horizontal="right"/>
    </xf>
    <xf numFmtId="0" fontId="9" fillId="0" borderId="33" xfId="0" applyFont="1" applyBorder="1" applyAlignment="1">
      <alignment horizontal="right"/>
    </xf>
    <xf numFmtId="0" fontId="38" fillId="0" borderId="34" xfId="0" applyFont="1" applyBorder="1"/>
    <xf numFmtId="0" fontId="38" fillId="0" borderId="30" xfId="0" applyFont="1" applyBorder="1" applyAlignment="1">
      <alignment wrapText="1"/>
    </xf>
    <xf numFmtId="0" fontId="38" fillId="0" borderId="35" xfId="0" applyFont="1" applyBorder="1" applyAlignment="1">
      <alignment wrapText="1"/>
    </xf>
    <xf numFmtId="0" fontId="49" fillId="0" borderId="30" xfId="0" applyFont="1" applyBorder="1" applyAlignment="1">
      <alignment horizontal="center" wrapText="1"/>
    </xf>
    <xf numFmtId="0" fontId="10" fillId="0" borderId="34" xfId="0" applyFont="1" applyBorder="1"/>
    <xf numFmtId="0" fontId="10" fillId="0" borderId="30" xfId="0" applyFont="1" applyBorder="1" applyAlignment="1">
      <alignment wrapText="1"/>
    </xf>
    <xf numFmtId="0" fontId="10" fillId="0" borderId="35" xfId="0" applyFont="1" applyBorder="1" applyAlignment="1">
      <alignment wrapText="1"/>
    </xf>
    <xf numFmtId="4" fontId="10" fillId="0" borderId="31" xfId="0" applyNumberFormat="1" applyFont="1" applyBorder="1" applyAlignment="1">
      <alignment horizontal="right"/>
    </xf>
    <xf numFmtId="0" fontId="33" fillId="0" borderId="34" xfId="0" applyFont="1" applyBorder="1"/>
    <xf numFmtId="0" fontId="33" fillId="0" borderId="30" xfId="0" applyFont="1" applyBorder="1" applyAlignment="1">
      <alignment wrapText="1"/>
    </xf>
    <xf numFmtId="0" fontId="33" fillId="0" borderId="35" xfId="0" applyFont="1" applyBorder="1" applyAlignment="1">
      <alignment wrapText="1"/>
    </xf>
    <xf numFmtId="0" fontId="22" fillId="0" borderId="30" xfId="0" applyFont="1" applyBorder="1" applyAlignment="1">
      <alignment horizontal="center" wrapText="1"/>
    </xf>
    <xf numFmtId="4" fontId="33" fillId="0" borderId="30" xfId="0" applyNumberFormat="1" applyFont="1" applyBorder="1" applyAlignment="1">
      <alignment wrapText="1"/>
    </xf>
    <xf numFmtId="0" fontId="31" fillId="3" borderId="34" xfId="0" applyFont="1" applyFill="1" applyBorder="1" applyAlignment="1">
      <alignment horizontal="left"/>
    </xf>
    <xf numFmtId="0" fontId="31" fillId="3" borderId="30" xfId="0" applyFont="1" applyFill="1" applyBorder="1" applyAlignment="1">
      <alignment horizontal="left"/>
    </xf>
    <xf numFmtId="0" fontId="31" fillId="3" borderId="35" xfId="0" applyFont="1" applyFill="1" applyBorder="1" applyAlignment="1">
      <alignment horizontal="left"/>
    </xf>
    <xf numFmtId="0" fontId="51" fillId="3" borderId="30" xfId="0" applyFont="1" applyFill="1" applyBorder="1" applyAlignment="1">
      <alignment horizontal="center"/>
    </xf>
    <xf numFmtId="4" fontId="31" fillId="3" borderId="30" xfId="0" applyNumberFormat="1" applyFont="1" applyFill="1" applyBorder="1"/>
    <xf numFmtId="4" fontId="27" fillId="3" borderId="30" xfId="0" applyNumberFormat="1" applyFont="1" applyFill="1" applyBorder="1" applyAlignment="1">
      <alignment horizontal="right"/>
    </xf>
    <xf numFmtId="4" fontId="31" fillId="3" borderId="31" xfId="0" applyNumberFormat="1" applyFont="1" applyFill="1" applyBorder="1" applyAlignment="1">
      <alignment horizontal="right"/>
    </xf>
    <xf numFmtId="4" fontId="28" fillId="0" borderId="30" xfId="0" applyNumberFormat="1" applyFont="1" applyBorder="1" applyAlignment="1">
      <alignment horizontal="center" wrapText="1"/>
    </xf>
    <xf numFmtId="49" fontId="38" fillId="3" borderId="34" xfId="0" applyNumberFormat="1" applyFont="1" applyFill="1" applyBorder="1" applyAlignment="1">
      <alignment horizontal="left"/>
    </xf>
    <xf numFmtId="49" fontId="38" fillId="3" borderId="30" xfId="0" applyNumberFormat="1" applyFont="1" applyFill="1" applyBorder="1" applyAlignment="1">
      <alignment horizontal="left" wrapText="1"/>
    </xf>
    <xf numFmtId="49" fontId="38" fillId="3" borderId="35" xfId="0" applyNumberFormat="1" applyFont="1" applyFill="1" applyBorder="1" applyAlignment="1">
      <alignment horizontal="left" wrapText="1"/>
    </xf>
    <xf numFmtId="49" fontId="52" fillId="3" borderId="30" xfId="0" applyNumberFormat="1" applyFont="1" applyFill="1" applyBorder="1" applyAlignment="1">
      <alignment horizontal="center" wrapText="1"/>
    </xf>
    <xf numFmtId="49" fontId="49" fillId="3" borderId="30" xfId="0" applyNumberFormat="1" applyFont="1" applyFill="1" applyBorder="1" applyAlignment="1">
      <alignment horizontal="center" wrapText="1"/>
    </xf>
    <xf numFmtId="49" fontId="10" fillId="3" borderId="34" xfId="0" applyNumberFormat="1" applyFont="1" applyFill="1" applyBorder="1" applyAlignment="1">
      <alignment horizontal="left"/>
    </xf>
    <xf numFmtId="4" fontId="38" fillId="3" borderId="30" xfId="0" applyNumberFormat="1" applyFont="1" applyFill="1" applyBorder="1" applyAlignment="1">
      <alignment horizontal="right" wrapText="1"/>
    </xf>
    <xf numFmtId="49" fontId="33" fillId="3" borderId="33" xfId="0" applyNumberFormat="1" applyFont="1" applyFill="1" applyBorder="1" applyAlignment="1">
      <alignment horizontal="right" wrapText="1"/>
    </xf>
    <xf numFmtId="49" fontId="22" fillId="3" borderId="30" xfId="0" applyNumberFormat="1" applyFont="1" applyFill="1" applyBorder="1" applyAlignment="1">
      <alignment horizontal="left" wrapText="1"/>
    </xf>
    <xf numFmtId="49" fontId="49" fillId="3" borderId="30" xfId="0" applyNumberFormat="1" applyFont="1" applyFill="1" applyBorder="1" applyAlignment="1">
      <alignment horizontal="left" wrapText="1"/>
    </xf>
    <xf numFmtId="4" fontId="9" fillId="3" borderId="33" xfId="0" applyNumberFormat="1" applyFont="1" applyFill="1" applyBorder="1"/>
    <xf numFmtId="4" fontId="9" fillId="3" borderId="33" xfId="0" applyNumberFormat="1" applyFont="1" applyFill="1" applyBorder="1" applyAlignment="1">
      <alignment horizontal="right"/>
    </xf>
    <xf numFmtId="2" fontId="38" fillId="3" borderId="34" xfId="0" applyNumberFormat="1" applyFont="1" applyFill="1" applyBorder="1" applyAlignment="1">
      <alignment horizontal="left"/>
    </xf>
    <xf numFmtId="2" fontId="38" fillId="3" borderId="30" xfId="0" applyNumberFormat="1" applyFont="1" applyFill="1" applyBorder="1" applyAlignment="1">
      <alignment horizontal="left" wrapText="1"/>
    </xf>
    <xf numFmtId="2" fontId="38" fillId="3" borderId="35" xfId="0" applyNumberFormat="1" applyFont="1" applyFill="1" applyBorder="1" applyAlignment="1">
      <alignment horizontal="left" wrapText="1"/>
    </xf>
    <xf numFmtId="0" fontId="30" fillId="3" borderId="30" xfId="0" applyFont="1" applyFill="1" applyBorder="1" applyAlignment="1">
      <alignment horizontal="center" wrapText="1"/>
    </xf>
    <xf numFmtId="0" fontId="9" fillId="3" borderId="10" xfId="0" applyFont="1" applyFill="1" applyBorder="1" applyAlignment="1">
      <alignment horizontal="right"/>
    </xf>
    <xf numFmtId="168" fontId="33" fillId="3" borderId="10" xfId="0" applyNumberFormat="1" applyFont="1" applyFill="1" applyBorder="1" applyAlignment="1">
      <alignment horizontal="right" wrapText="1"/>
    </xf>
    <xf numFmtId="4" fontId="33" fillId="3" borderId="10" xfId="0" applyNumberFormat="1" applyFont="1" applyFill="1" applyBorder="1" applyAlignment="1">
      <alignment wrapText="1"/>
    </xf>
    <xf numFmtId="0" fontId="9" fillId="0" borderId="10" xfId="0" applyFont="1" applyBorder="1" applyAlignment="1">
      <alignment horizontal="right"/>
    </xf>
    <xf numFmtId="0" fontId="50" fillId="13" borderId="0" xfId="0" applyFont="1" applyFill="1"/>
    <xf numFmtId="49" fontId="33" fillId="3" borderId="10" xfId="0" applyNumberFormat="1" applyFont="1" applyFill="1" applyBorder="1" applyAlignment="1">
      <alignment horizontal="right" wrapText="1"/>
    </xf>
    <xf numFmtId="4" fontId="9" fillId="3" borderId="10" xfId="0" applyNumberFormat="1" applyFont="1" applyFill="1" applyBorder="1"/>
    <xf numFmtId="4" fontId="9" fillId="3" borderId="10" xfId="0" applyNumberFormat="1" applyFont="1" applyFill="1" applyBorder="1" applyAlignment="1">
      <alignment horizontal="right"/>
    </xf>
    <xf numFmtId="4" fontId="40" fillId="0" borderId="0" xfId="0" applyNumberFormat="1" applyFont="1"/>
    <xf numFmtId="4" fontId="10" fillId="6" borderId="30" xfId="0" applyNumberFormat="1" applyFont="1" applyFill="1" applyBorder="1" applyAlignment="1">
      <alignment wrapText="1"/>
    </xf>
    <xf numFmtId="0" fontId="10" fillId="3" borderId="30" xfId="0" applyFont="1" applyFill="1" applyBorder="1" applyAlignment="1">
      <alignment horizontal="left"/>
    </xf>
    <xf numFmtId="4" fontId="6" fillId="3" borderId="33" xfId="0" applyNumberFormat="1" applyFont="1" applyFill="1" applyBorder="1" applyAlignment="1">
      <alignment wrapText="1"/>
    </xf>
    <xf numFmtId="0" fontId="28" fillId="3" borderId="30" xfId="0" applyFont="1" applyFill="1" applyBorder="1" applyAlignment="1">
      <alignment horizontal="left" wrapText="1"/>
    </xf>
    <xf numFmtId="4" fontId="6" fillId="0" borderId="31" xfId="0" applyNumberFormat="1" applyFont="1" applyBorder="1" applyAlignment="1">
      <alignment wrapText="1"/>
    </xf>
    <xf numFmtId="4" fontId="6" fillId="0" borderId="33" xfId="0" applyNumberFormat="1" applyFont="1" applyBorder="1" applyAlignment="1">
      <alignment horizontal="right" wrapText="1"/>
    </xf>
    <xf numFmtId="0" fontId="33" fillId="0" borderId="34" xfId="0" applyFont="1" applyBorder="1" applyAlignment="1">
      <alignment horizontal="left"/>
    </xf>
    <xf numFmtId="0" fontId="33" fillId="0" borderId="30" xfId="0" applyFont="1" applyBorder="1" applyAlignment="1">
      <alignment horizontal="left"/>
    </xf>
    <xf numFmtId="0" fontId="33" fillId="0" borderId="35" xfId="0" applyFont="1" applyBorder="1" applyAlignment="1">
      <alignment horizontal="left" wrapText="1"/>
    </xf>
    <xf numFmtId="0" fontId="22" fillId="0" borderId="30" xfId="0" applyFont="1" applyBorder="1" applyAlignment="1">
      <alignment horizontal="left" wrapText="1"/>
    </xf>
    <xf numFmtId="4" fontId="33" fillId="0" borderId="30" xfId="0" applyNumberFormat="1" applyFont="1" applyBorder="1" applyAlignment="1">
      <alignment horizontal="right" wrapText="1"/>
    </xf>
    <xf numFmtId="4" fontId="33" fillId="0" borderId="31" xfId="0" applyNumberFormat="1" applyFont="1" applyBorder="1" applyAlignment="1">
      <alignment horizontal="right"/>
    </xf>
    <xf numFmtId="0" fontId="33" fillId="0" borderId="33" xfId="0" applyFont="1" applyBorder="1" applyAlignment="1">
      <alignment horizontal="right" wrapText="1"/>
    </xf>
    <xf numFmtId="0" fontId="6" fillId="0" borderId="30" xfId="0" applyFont="1" applyBorder="1" applyAlignment="1">
      <alignment vertical="top" wrapText="1"/>
    </xf>
    <xf numFmtId="0" fontId="10" fillId="0" borderId="30" xfId="0" applyFont="1" applyBorder="1" applyAlignment="1">
      <alignment vertical="top" wrapText="1"/>
    </xf>
    <xf numFmtId="0" fontId="49" fillId="3" borderId="30" xfId="0" applyFont="1" applyFill="1" applyBorder="1" applyAlignment="1">
      <alignment horizontal="left" wrapText="1"/>
    </xf>
    <xf numFmtId="168" fontId="17" fillId="13" borderId="33" xfId="0" applyNumberFormat="1" applyFont="1" applyFill="1" applyBorder="1" applyAlignment="1">
      <alignment horizontal="right" wrapText="1"/>
    </xf>
    <xf numFmtId="4" fontId="10" fillId="0" borderId="30" xfId="0" applyNumberFormat="1" applyFont="1" applyBorder="1" applyAlignment="1">
      <alignment horizontal="right" wrapText="1"/>
    </xf>
    <xf numFmtId="0" fontId="41" fillId="3" borderId="34" xfId="0" applyFont="1" applyFill="1" applyBorder="1" applyAlignment="1">
      <alignment horizontal="left"/>
    </xf>
    <xf numFmtId="0" fontId="22" fillId="3" borderId="30" xfId="0" applyFont="1" applyFill="1" applyBorder="1" applyAlignment="1">
      <alignment horizontal="center" wrapText="1"/>
    </xf>
    <xf numFmtId="0" fontId="53" fillId="3" borderId="30" xfId="0" applyFont="1" applyFill="1" applyBorder="1" applyAlignment="1">
      <alignment horizontal="center" wrapText="1"/>
    </xf>
    <xf numFmtId="0" fontId="33" fillId="3" borderId="33" xfId="0" applyFont="1" applyFill="1" applyBorder="1" applyAlignment="1">
      <alignment horizontal="right" wrapText="1"/>
    </xf>
    <xf numFmtId="168" fontId="9" fillId="3" borderId="33" xfId="0" applyNumberFormat="1" applyFont="1" applyFill="1" applyBorder="1" applyAlignment="1">
      <alignment horizontal="right"/>
    </xf>
    <xf numFmtId="0" fontId="6" fillId="3" borderId="34" xfId="0" applyFont="1" applyFill="1" applyBorder="1" applyAlignment="1">
      <alignment horizontal="left"/>
    </xf>
    <xf numFmtId="0" fontId="6" fillId="3" borderId="30" xfId="0" applyFont="1" applyFill="1" applyBorder="1" applyAlignment="1">
      <alignment horizontal="left" wrapText="1"/>
    </xf>
    <xf numFmtId="0" fontId="6" fillId="3" borderId="35" xfId="0" applyFont="1" applyFill="1" applyBorder="1" applyAlignment="1">
      <alignment horizontal="left" wrapText="1"/>
    </xf>
    <xf numFmtId="0" fontId="5" fillId="3" borderId="30" xfId="0" applyFont="1" applyFill="1" applyBorder="1" applyAlignment="1">
      <alignment horizontal="left" wrapText="1"/>
    </xf>
    <xf numFmtId="4" fontId="6" fillId="3" borderId="30" xfId="0" applyNumberFormat="1" applyFont="1" applyFill="1" applyBorder="1" applyAlignment="1">
      <alignment horizontal="right" wrapText="1"/>
    </xf>
    <xf numFmtId="4" fontId="6" fillId="3" borderId="31" xfId="0" applyNumberFormat="1" applyFont="1" applyFill="1" applyBorder="1" applyAlignment="1">
      <alignment horizontal="right"/>
    </xf>
    <xf numFmtId="0" fontId="6" fillId="3" borderId="33" xfId="0" applyFont="1" applyFill="1" applyBorder="1" applyAlignment="1">
      <alignment horizontal="right" wrapText="1"/>
    </xf>
    <xf numFmtId="4" fontId="6" fillId="3" borderId="10" xfId="0" applyNumberFormat="1" applyFont="1" applyFill="1" applyBorder="1" applyAlignment="1">
      <alignment wrapText="1"/>
    </xf>
    <xf numFmtId="0" fontId="50" fillId="4" borderId="0" xfId="0" applyFont="1" applyFill="1"/>
    <xf numFmtId="4" fontId="6" fillId="0" borderId="10" xfId="0" applyNumberFormat="1" applyFont="1" applyBorder="1" applyAlignment="1">
      <alignment horizontal="right" wrapText="1"/>
    </xf>
    <xf numFmtId="0" fontId="33" fillId="0" borderId="10" xfId="0" applyFont="1" applyBorder="1" applyAlignment="1">
      <alignment horizontal="right" wrapText="1"/>
    </xf>
    <xf numFmtId="168" fontId="17" fillId="13" borderId="10" xfId="0" applyNumberFormat="1" applyFont="1" applyFill="1" applyBorder="1" applyAlignment="1">
      <alignment horizontal="right" wrapText="1"/>
    </xf>
    <xf numFmtId="0" fontId="33" fillId="3" borderId="10" xfId="0" applyFont="1" applyFill="1" applyBorder="1" applyAlignment="1">
      <alignment horizontal="right" wrapText="1"/>
    </xf>
    <xf numFmtId="168" fontId="9" fillId="3" borderId="10" xfId="0" applyNumberFormat="1" applyFont="1" applyFill="1" applyBorder="1" applyAlignment="1">
      <alignment horizontal="right"/>
    </xf>
    <xf numFmtId="0" fontId="6" fillId="3" borderId="10" xfId="0" applyFont="1" applyFill="1" applyBorder="1" applyAlignment="1">
      <alignment horizontal="right" wrapText="1"/>
    </xf>
    <xf numFmtId="4" fontId="6" fillId="3" borderId="30" xfId="0" applyNumberFormat="1" applyFont="1" applyFill="1" applyBorder="1" applyAlignment="1">
      <alignment wrapText="1"/>
    </xf>
    <xf numFmtId="4" fontId="6" fillId="3" borderId="48" xfId="0" applyNumberFormat="1" applyFont="1" applyFill="1" applyBorder="1" applyAlignment="1">
      <alignment horizontal="right"/>
    </xf>
    <xf numFmtId="0" fontId="6" fillId="0" borderId="33" xfId="0" applyFont="1" applyBorder="1" applyAlignment="1">
      <alignment wrapText="1"/>
    </xf>
    <xf numFmtId="0" fontId="17" fillId="0" borderId="33" xfId="0" applyFont="1" applyBorder="1" applyAlignment="1">
      <alignment horizontal="right" wrapText="1"/>
    </xf>
    <xf numFmtId="168" fontId="6" fillId="0" borderId="33" xfId="0" applyNumberFormat="1" applyFont="1" applyBorder="1" applyAlignment="1">
      <alignment horizontal="right" wrapText="1"/>
    </xf>
    <xf numFmtId="4" fontId="6" fillId="3" borderId="31" xfId="0" applyNumberFormat="1" applyFont="1" applyFill="1" applyBorder="1" applyAlignment="1">
      <alignment wrapText="1"/>
    </xf>
    <xf numFmtId="168" fontId="6" fillId="3" borderId="48" xfId="0" applyNumberFormat="1" applyFont="1" applyFill="1" applyBorder="1" applyAlignment="1">
      <alignment wrapText="1"/>
    </xf>
    <xf numFmtId="0" fontId="9" fillId="0" borderId="29" xfId="0" applyFont="1" applyBorder="1" applyAlignment="1">
      <alignment horizontal="left" wrapText="1"/>
    </xf>
    <xf numFmtId="4" fontId="33" fillId="0" borderId="31" xfId="0" applyNumberFormat="1" applyFont="1" applyBorder="1" applyAlignment="1">
      <alignment wrapText="1"/>
    </xf>
    <xf numFmtId="4" fontId="33" fillId="0" borderId="33" xfId="0" applyNumberFormat="1" applyFont="1" applyBorder="1" applyAlignment="1">
      <alignment wrapText="1"/>
    </xf>
    <xf numFmtId="0" fontId="27" fillId="0" borderId="34" xfId="0" applyFont="1" applyBorder="1" applyAlignment="1">
      <alignment horizontal="left"/>
    </xf>
    <xf numFmtId="0" fontId="27" fillId="0" borderId="30" xfId="0" applyFont="1" applyBorder="1" applyAlignment="1">
      <alignment horizontal="left" wrapText="1"/>
    </xf>
    <xf numFmtId="0" fontId="27" fillId="0" borderId="29" xfId="0" applyFont="1" applyBorder="1" applyAlignment="1">
      <alignment horizontal="left" wrapText="1"/>
    </xf>
    <xf numFmtId="0" fontId="52" fillId="0" borderId="30" xfId="0" applyFont="1" applyBorder="1" applyAlignment="1">
      <alignment horizontal="left" wrapText="1"/>
    </xf>
    <xf numFmtId="4" fontId="27" fillId="0" borderId="30" xfId="0" applyNumberFormat="1" applyFont="1" applyBorder="1" applyAlignment="1">
      <alignment wrapText="1"/>
    </xf>
    <xf numFmtId="4" fontId="35" fillId="0" borderId="31" xfId="0" applyNumberFormat="1" applyFont="1" applyBorder="1" applyAlignment="1">
      <alignment wrapText="1"/>
    </xf>
    <xf numFmtId="0" fontId="28" fillId="0" borderId="34" xfId="0" applyFont="1" applyBorder="1" applyAlignment="1">
      <alignment horizontal="left"/>
    </xf>
    <xf numFmtId="0" fontId="28" fillId="0" borderId="29" xfId="0" applyFont="1" applyBorder="1" applyAlignment="1">
      <alignment horizontal="left" wrapText="1" indent="1"/>
    </xf>
    <xf numFmtId="4" fontId="28" fillId="0" borderId="30" xfId="0" applyNumberFormat="1" applyFont="1" applyBorder="1" applyAlignment="1">
      <alignment wrapText="1"/>
    </xf>
    <xf numFmtId="4" fontId="54" fillId="0" borderId="31" xfId="0" applyNumberFormat="1" applyFont="1" applyBorder="1" applyAlignment="1">
      <alignment wrapText="1"/>
    </xf>
    <xf numFmtId="0" fontId="38" fillId="0" borderId="30" xfId="0" applyFont="1" applyBorder="1" applyAlignment="1">
      <alignment horizontal="left" wrapText="1"/>
    </xf>
    <xf numFmtId="0" fontId="38" fillId="0" borderId="29" xfId="0" applyFont="1" applyBorder="1" applyAlignment="1">
      <alignment horizontal="left" wrapText="1"/>
    </xf>
    <xf numFmtId="4" fontId="37" fillId="0" borderId="31" xfId="0" applyNumberFormat="1" applyFont="1" applyBorder="1" applyAlignment="1">
      <alignment wrapText="1"/>
    </xf>
    <xf numFmtId="0" fontId="6" fillId="0" borderId="29" xfId="0" applyFont="1" applyBorder="1" applyAlignment="1">
      <alignment horizontal="left" wrapText="1" indent="2"/>
    </xf>
    <xf numFmtId="0" fontId="10" fillId="0" borderId="29" xfId="0" applyFont="1" applyBorder="1" applyAlignment="1">
      <alignment horizontal="left" wrapText="1" indent="2"/>
    </xf>
    <xf numFmtId="0" fontId="28" fillId="0" borderId="34" xfId="0" applyFont="1" applyBorder="1" applyAlignment="1">
      <alignment horizontal="left" indent="1"/>
    </xf>
    <xf numFmtId="0" fontId="28" fillId="0" borderId="30" xfId="0" applyFont="1" applyBorder="1" applyAlignment="1">
      <alignment horizontal="left" wrapText="1" indent="1"/>
    </xf>
    <xf numFmtId="0" fontId="49" fillId="0" borderId="30" xfId="0" applyFont="1" applyBorder="1" applyAlignment="1">
      <alignment horizontal="left" wrapText="1" indent="1"/>
    </xf>
    <xf numFmtId="4" fontId="28" fillId="0" borderId="30" xfId="0" applyNumberFormat="1" applyFont="1" applyBorder="1" applyAlignment="1">
      <alignment horizontal="right" wrapText="1"/>
    </xf>
    <xf numFmtId="4" fontId="54" fillId="0" borderId="31" xfId="0" applyNumberFormat="1" applyFont="1" applyBorder="1" applyAlignment="1">
      <alignment horizontal="right" wrapText="1"/>
    </xf>
    <xf numFmtId="4" fontId="33" fillId="0" borderId="33" xfId="0" applyNumberFormat="1" applyFont="1" applyBorder="1" applyAlignment="1">
      <alignment horizontal="left" wrapText="1" indent="1"/>
    </xf>
    <xf numFmtId="4" fontId="6" fillId="0" borderId="31" xfId="0" applyNumberFormat="1" applyFont="1" applyBorder="1"/>
    <xf numFmtId="4" fontId="33" fillId="3" borderId="31" xfId="0" applyNumberFormat="1" applyFont="1" applyFill="1" applyBorder="1" applyAlignment="1">
      <alignment horizontal="right"/>
    </xf>
    <xf numFmtId="4" fontId="33" fillId="3" borderId="48" xfId="0" applyNumberFormat="1" applyFont="1" applyFill="1" applyBorder="1" applyAlignment="1">
      <alignment horizontal="right"/>
    </xf>
    <xf numFmtId="4" fontId="6" fillId="0" borderId="30" xfId="0" applyNumberFormat="1" applyFont="1" applyBorder="1" applyAlignment="1">
      <alignment horizontal="left" wrapText="1"/>
    </xf>
    <xf numFmtId="0" fontId="6" fillId="0" borderId="33" xfId="0" applyFont="1" applyBorder="1" applyAlignment="1">
      <alignment horizontal="left" wrapText="1"/>
    </xf>
    <xf numFmtId="0" fontId="33" fillId="0" borderId="30" xfId="0" applyFont="1" applyBorder="1" applyAlignment="1">
      <alignment horizontal="left" wrapText="1"/>
    </xf>
    <xf numFmtId="4" fontId="6" fillId="3" borderId="49" xfId="0" applyNumberFormat="1" applyFont="1" applyFill="1" applyBorder="1" applyAlignment="1">
      <alignment horizontal="right"/>
    </xf>
    <xf numFmtId="0" fontId="6" fillId="0" borderId="10" xfId="0" applyFont="1" applyBorder="1" applyAlignment="1">
      <alignment wrapText="1"/>
    </xf>
    <xf numFmtId="0" fontId="17" fillId="0" borderId="10" xfId="0" applyFont="1" applyBorder="1" applyAlignment="1">
      <alignment horizontal="right" wrapText="1"/>
    </xf>
    <xf numFmtId="168" fontId="6" fillId="0" borderId="10" xfId="0" applyNumberFormat="1" applyFont="1" applyBorder="1" applyAlignment="1">
      <alignment horizontal="right" wrapText="1"/>
    </xf>
    <xf numFmtId="168" fontId="6" fillId="3" borderId="49" xfId="0" applyNumberFormat="1" applyFont="1" applyFill="1" applyBorder="1" applyAlignment="1">
      <alignment wrapText="1"/>
    </xf>
    <xf numFmtId="4" fontId="33" fillId="0" borderId="10" xfId="0" applyNumberFormat="1" applyFont="1" applyBorder="1" applyAlignment="1">
      <alignment wrapText="1"/>
    </xf>
    <xf numFmtId="0" fontId="55" fillId="0" borderId="0" xfId="0" applyFont="1"/>
    <xf numFmtId="4" fontId="33" fillId="0" borderId="10" xfId="0" applyNumberFormat="1" applyFont="1" applyBorder="1" applyAlignment="1">
      <alignment horizontal="left" wrapText="1" indent="1"/>
    </xf>
    <xf numFmtId="3" fontId="31" fillId="0" borderId="0" xfId="0" applyNumberFormat="1" applyFont="1" applyAlignment="1">
      <alignment horizontal="left" vertical="top" indent="1"/>
    </xf>
    <xf numFmtId="0" fontId="55" fillId="0" borderId="0" xfId="0" applyFont="1" applyAlignment="1">
      <alignment horizontal="left" indent="1"/>
    </xf>
    <xf numFmtId="4" fontId="33" fillId="3" borderId="49" xfId="0" applyNumberFormat="1" applyFont="1" applyFill="1" applyBorder="1" applyAlignment="1">
      <alignment horizontal="right"/>
    </xf>
    <xf numFmtId="0" fontId="6" fillId="0" borderId="10" xfId="0" applyFont="1" applyBorder="1" applyAlignment="1">
      <alignment horizontal="left" wrapText="1"/>
    </xf>
    <xf numFmtId="0" fontId="6" fillId="3" borderId="30" xfId="0" applyFont="1" applyFill="1" applyBorder="1" applyAlignment="1">
      <alignment horizontal="left"/>
    </xf>
    <xf numFmtId="0" fontId="5" fillId="3" borderId="30" xfId="0" applyFont="1" applyFill="1" applyBorder="1" applyAlignment="1">
      <alignment horizontal="center" wrapText="1"/>
    </xf>
    <xf numFmtId="4" fontId="33" fillId="3" borderId="48" xfId="0" applyNumberFormat="1" applyFont="1" applyFill="1" applyBorder="1" applyAlignment="1">
      <alignment wrapText="1"/>
    </xf>
    <xf numFmtId="2" fontId="6" fillId="3" borderId="34" xfId="0" applyNumberFormat="1" applyFont="1" applyFill="1" applyBorder="1" applyAlignment="1">
      <alignment horizontal="left"/>
    </xf>
    <xf numFmtId="2" fontId="6" fillId="3" borderId="30" xfId="0" applyNumberFormat="1" applyFont="1" applyFill="1" applyBorder="1" applyAlignment="1">
      <alignment horizontal="left" wrapText="1"/>
    </xf>
    <xf numFmtId="2" fontId="6" fillId="3" borderId="35" xfId="0" applyNumberFormat="1" applyFont="1" applyFill="1" applyBorder="1" applyAlignment="1">
      <alignment horizontal="left" wrapText="1"/>
    </xf>
    <xf numFmtId="2" fontId="5" fillId="3" borderId="30" xfId="0" applyNumberFormat="1" applyFont="1" applyFill="1" applyBorder="1" applyAlignment="1">
      <alignment horizontal="left" wrapText="1"/>
    </xf>
    <xf numFmtId="4" fontId="6" fillId="3" borderId="48" xfId="0" applyNumberFormat="1" applyFont="1" applyFill="1" applyBorder="1" applyAlignment="1">
      <alignment wrapText="1"/>
    </xf>
    <xf numFmtId="0" fontId="10" fillId="0" borderId="29" xfId="0" applyFont="1" applyBorder="1" applyAlignment="1">
      <alignment horizontal="left" wrapText="1"/>
    </xf>
    <xf numFmtId="4" fontId="38" fillId="0" borderId="31" xfId="0" applyNumberFormat="1" applyFont="1" applyBorder="1" applyAlignment="1">
      <alignment horizontal="right"/>
    </xf>
    <xf numFmtId="4" fontId="33" fillId="3" borderId="48" xfId="0" applyNumberFormat="1" applyFont="1" applyFill="1" applyBorder="1" applyAlignment="1">
      <alignment horizontal="right" wrapText="1"/>
    </xf>
    <xf numFmtId="0" fontId="27" fillId="14" borderId="34" xfId="0" applyFont="1" applyFill="1" applyBorder="1" applyAlignment="1">
      <alignment horizontal="left"/>
    </xf>
    <xf numFmtId="0" fontId="27" fillId="14" borderId="30" xfId="0" applyFont="1" applyFill="1" applyBorder="1" applyAlignment="1">
      <alignment horizontal="left"/>
    </xf>
    <xf numFmtId="0" fontId="27" fillId="14" borderId="35" xfId="0" applyFont="1" applyFill="1" applyBorder="1" applyAlignment="1">
      <alignment horizontal="left"/>
    </xf>
    <xf numFmtId="0" fontId="30" fillId="14" borderId="30" xfId="0" applyFont="1" applyFill="1" applyBorder="1" applyAlignment="1">
      <alignment horizontal="center"/>
    </xf>
    <xf numFmtId="4" fontId="27" fillId="14" borderId="30" xfId="0" applyNumberFormat="1" applyFont="1" applyFill="1" applyBorder="1"/>
    <xf numFmtId="4" fontId="31" fillId="14" borderId="31" xfId="0" applyNumberFormat="1" applyFont="1" applyFill="1" applyBorder="1"/>
    <xf numFmtId="168" fontId="9" fillId="0" borderId="33" xfId="0" applyNumberFormat="1" applyFont="1" applyBorder="1"/>
    <xf numFmtId="0" fontId="27" fillId="0" borderId="30" xfId="0" applyFont="1" applyBorder="1" applyAlignment="1">
      <alignment horizontal="left"/>
    </xf>
    <xf numFmtId="0" fontId="27" fillId="0" borderId="35" xfId="0" applyFont="1" applyBorder="1" applyAlignment="1">
      <alignment horizontal="left"/>
    </xf>
    <xf numFmtId="0" fontId="30" fillId="0" borderId="30" xfId="0" applyFont="1" applyBorder="1" applyAlignment="1">
      <alignment horizontal="center"/>
    </xf>
    <xf numFmtId="4" fontId="38" fillId="0" borderId="30" xfId="0" applyNumberFormat="1" applyFont="1" applyBorder="1"/>
    <xf numFmtId="4" fontId="37" fillId="0" borderId="31" xfId="0" applyNumberFormat="1" applyFont="1" applyBorder="1"/>
    <xf numFmtId="4" fontId="33" fillId="3" borderId="49" xfId="0" applyNumberFormat="1" applyFont="1" applyFill="1" applyBorder="1" applyAlignment="1">
      <alignment wrapText="1"/>
    </xf>
    <xf numFmtId="4" fontId="6" fillId="3" borderId="49" xfId="0" applyNumberFormat="1" applyFont="1" applyFill="1" applyBorder="1" applyAlignment="1">
      <alignment wrapText="1"/>
    </xf>
    <xf numFmtId="3" fontId="56" fillId="0" borderId="0" xfId="0" applyNumberFormat="1" applyFont="1" applyAlignment="1">
      <alignment vertical="top"/>
    </xf>
    <xf numFmtId="4" fontId="33" fillId="3" borderId="49" xfId="0" applyNumberFormat="1" applyFont="1" applyFill="1" applyBorder="1" applyAlignment="1">
      <alignment horizontal="right" wrapText="1"/>
    </xf>
    <xf numFmtId="168" fontId="9" fillId="0" borderId="10" xfId="0" applyNumberFormat="1" applyFont="1" applyBorder="1"/>
    <xf numFmtId="0" fontId="52" fillId="14" borderId="30" xfId="0" applyFont="1" applyFill="1" applyBorder="1" applyAlignment="1">
      <alignment horizontal="center"/>
    </xf>
    <xf numFmtId="4" fontId="56" fillId="14" borderId="30" xfId="0" applyNumberFormat="1" applyFont="1" applyFill="1" applyBorder="1"/>
    <xf numFmtId="4" fontId="35" fillId="14" borderId="31" xfId="0" applyNumberFormat="1" applyFont="1" applyFill="1" applyBorder="1"/>
    <xf numFmtId="168" fontId="34" fillId="0" borderId="33" xfId="0" applyNumberFormat="1" applyFont="1" applyBorder="1"/>
    <xf numFmtId="0" fontId="56" fillId="14" borderId="34" xfId="0" applyFont="1" applyFill="1" applyBorder="1" applyAlignment="1">
      <alignment horizontal="left"/>
    </xf>
    <xf numFmtId="0" fontId="38" fillId="14" borderId="30" xfId="0" applyFont="1" applyFill="1" applyBorder="1" applyAlignment="1">
      <alignment horizontal="left"/>
    </xf>
    <xf numFmtId="0" fontId="38" fillId="14" borderId="35" xfId="0" applyFont="1" applyFill="1" applyBorder="1" applyAlignment="1">
      <alignment horizontal="left"/>
    </xf>
    <xf numFmtId="0" fontId="49" fillId="14" borderId="30" xfId="0" applyFont="1" applyFill="1" applyBorder="1" applyAlignment="1">
      <alignment horizontal="center"/>
    </xf>
    <xf numFmtId="4" fontId="38" fillId="14" borderId="30" xfId="0" applyNumberFormat="1" applyFont="1" applyFill="1" applyBorder="1"/>
    <xf numFmtId="4" fontId="37" fillId="14" borderId="31" xfId="0" applyNumberFormat="1" applyFont="1" applyFill="1" applyBorder="1"/>
    <xf numFmtId="168" fontId="33" fillId="0" borderId="33" xfId="0" applyNumberFormat="1" applyFont="1" applyBorder="1"/>
    <xf numFmtId="0" fontId="56" fillId="14" borderId="30" xfId="0" applyFont="1" applyFill="1" applyBorder="1" applyAlignment="1">
      <alignment horizontal="left"/>
    </xf>
    <xf numFmtId="4" fontId="37" fillId="14" borderId="31" xfId="0" applyNumberFormat="1" applyFont="1" applyFill="1" applyBorder="1" applyAlignment="1">
      <alignment horizontal="right"/>
    </xf>
    <xf numFmtId="168" fontId="41" fillId="0" borderId="33" xfId="0" applyNumberFormat="1" applyFont="1" applyBorder="1"/>
    <xf numFmtId="0" fontId="34" fillId="14" borderId="34" xfId="0" applyFont="1" applyFill="1" applyBorder="1" applyAlignment="1">
      <alignment horizontal="left"/>
    </xf>
    <xf numFmtId="0" fontId="22" fillId="14" borderId="30" xfId="0" applyFont="1" applyFill="1" applyBorder="1" applyAlignment="1">
      <alignment horizontal="center"/>
    </xf>
    <xf numFmtId="4" fontId="33" fillId="14" borderId="30" xfId="0" applyNumberFormat="1" applyFont="1" applyFill="1" applyBorder="1"/>
    <xf numFmtId="4" fontId="33" fillId="14" borderId="31" xfId="0" applyNumberFormat="1" applyFont="1" applyFill="1" applyBorder="1"/>
    <xf numFmtId="4" fontId="57" fillId="0" borderId="30" xfId="0" applyNumberFormat="1" applyFont="1" applyBorder="1" applyAlignment="1">
      <alignment wrapText="1"/>
    </xf>
    <xf numFmtId="0" fontId="34" fillId="0" borderId="34" xfId="0" applyFont="1" applyBorder="1" applyAlignment="1">
      <alignment horizontal="left"/>
    </xf>
    <xf numFmtId="0" fontId="22" fillId="0" borderId="30" xfId="0" applyFont="1" applyBorder="1" applyAlignment="1">
      <alignment horizontal="center"/>
    </xf>
    <xf numFmtId="4" fontId="33" fillId="0" borderId="30" xfId="0" applyNumberFormat="1" applyFont="1" applyBorder="1"/>
    <xf numFmtId="4" fontId="33" fillId="0" borderId="31" xfId="0" applyNumberFormat="1" applyFont="1" applyBorder="1"/>
    <xf numFmtId="0" fontId="56" fillId="14" borderId="30" xfId="0" applyFont="1" applyFill="1" applyBorder="1" applyAlignment="1">
      <alignment horizontal="left" wrapText="1"/>
    </xf>
    <xf numFmtId="0" fontId="56" fillId="14" borderId="35" xfId="0" applyFont="1" applyFill="1" applyBorder="1" applyAlignment="1">
      <alignment horizontal="left" wrapText="1"/>
    </xf>
    <xf numFmtId="0" fontId="52" fillId="14" borderId="30" xfId="0" applyFont="1" applyFill="1" applyBorder="1" applyAlignment="1">
      <alignment horizontal="left" wrapText="1"/>
    </xf>
    <xf numFmtId="4" fontId="56" fillId="14" borderId="30" xfId="0" applyNumberFormat="1" applyFont="1" applyFill="1" applyBorder="1" applyAlignment="1">
      <alignment wrapText="1"/>
    </xf>
    <xf numFmtId="4" fontId="35" fillId="14" borderId="31" xfId="0" applyNumberFormat="1" applyFont="1" applyFill="1" applyBorder="1" applyAlignment="1">
      <alignment wrapText="1"/>
    </xf>
    <xf numFmtId="4" fontId="34" fillId="0" borderId="33" xfId="0" applyNumberFormat="1" applyFont="1" applyBorder="1" applyAlignment="1">
      <alignment wrapText="1"/>
    </xf>
    <xf numFmtId="0" fontId="56" fillId="14" borderId="34" xfId="0" applyFont="1" applyFill="1" applyBorder="1" applyAlignment="1">
      <alignment horizontal="right"/>
    </xf>
    <xf numFmtId="0" fontId="10" fillId="0" borderId="35" xfId="0" applyFont="1" applyBorder="1" applyAlignment="1">
      <alignment horizontal="left"/>
    </xf>
    <xf numFmtId="0" fontId="49" fillId="0" borderId="30" xfId="0" applyFont="1" applyBorder="1" applyAlignment="1">
      <alignment horizontal="left"/>
    </xf>
    <xf numFmtId="0" fontId="34" fillId="0" borderId="34" xfId="0" applyFont="1" applyBorder="1" applyAlignment="1">
      <alignment horizontal="right"/>
    </xf>
    <xf numFmtId="0" fontId="58" fillId="0" borderId="30" xfId="0" applyFont="1" applyBorder="1" applyAlignment="1">
      <alignment horizontal="left" wrapText="1"/>
    </xf>
    <xf numFmtId="0" fontId="22" fillId="0" borderId="30" xfId="0" applyFont="1" applyBorder="1" applyAlignment="1">
      <alignment horizontal="left"/>
    </xf>
    <xf numFmtId="0" fontId="30" fillId="0" borderId="30" xfId="0" applyFont="1" applyBorder="1" applyAlignment="1">
      <alignment horizontal="left"/>
    </xf>
    <xf numFmtId="4" fontId="27" fillId="0" borderId="30" xfId="0" applyNumberFormat="1" applyFont="1" applyBorder="1" applyAlignment="1">
      <alignment horizontal="right"/>
    </xf>
    <xf numFmtId="4" fontId="31" fillId="0" borderId="31" xfId="0" applyNumberFormat="1" applyFont="1" applyBorder="1" applyAlignment="1">
      <alignment horizontal="right"/>
    </xf>
    <xf numFmtId="168" fontId="9" fillId="0" borderId="33" xfId="0" applyNumberFormat="1" applyFont="1" applyBorder="1" applyAlignment="1">
      <alignment horizontal="right"/>
    </xf>
    <xf numFmtId="4" fontId="27" fillId="0" borderId="30" xfId="0" applyNumberFormat="1" applyFont="1" applyBorder="1"/>
    <xf numFmtId="4" fontId="31" fillId="0" borderId="31" xfId="0" applyNumberFormat="1" applyFont="1" applyBorder="1"/>
    <xf numFmtId="0" fontId="33" fillId="0" borderId="35" xfId="0" applyFont="1" applyBorder="1" applyAlignment="1">
      <alignment horizontal="left"/>
    </xf>
    <xf numFmtId="4" fontId="41" fillId="0" borderId="30" xfId="0" applyNumberFormat="1" applyFont="1" applyBorder="1" applyAlignment="1">
      <alignment horizontal="right"/>
    </xf>
    <xf numFmtId="168" fontId="41" fillId="0" borderId="33" xfId="0" applyNumberFormat="1" applyFont="1" applyBorder="1" applyAlignment="1">
      <alignment horizontal="right"/>
    </xf>
    <xf numFmtId="4" fontId="33" fillId="0" borderId="30" xfId="0" applyNumberFormat="1" applyFont="1" applyBorder="1" applyAlignment="1">
      <alignment horizontal="right"/>
    </xf>
    <xf numFmtId="168" fontId="33" fillId="0" borderId="33" xfId="0" applyNumberFormat="1" applyFont="1" applyBorder="1" applyAlignment="1">
      <alignment horizontal="right"/>
    </xf>
    <xf numFmtId="0" fontId="33" fillId="0" borderId="34" xfId="0" applyFont="1" applyBorder="1" applyAlignment="1">
      <alignment wrapText="1"/>
    </xf>
    <xf numFmtId="0" fontId="22" fillId="0" borderId="30" xfId="0" applyFont="1" applyBorder="1" applyAlignment="1">
      <alignment wrapText="1"/>
    </xf>
    <xf numFmtId="4" fontId="6" fillId="0" borderId="31" xfId="0" applyNumberFormat="1" applyFont="1" applyBorder="1" applyAlignment="1">
      <alignment horizontal="right" wrapText="1"/>
    </xf>
    <xf numFmtId="168" fontId="33" fillId="0" borderId="33" xfId="0" applyNumberFormat="1" applyFont="1" applyBorder="1" applyAlignment="1">
      <alignment horizontal="right" wrapText="1"/>
    </xf>
    <xf numFmtId="0" fontId="33" fillId="0" borderId="33" xfId="0" applyFont="1" applyBorder="1" applyAlignment="1">
      <alignment horizontal="right"/>
    </xf>
    <xf numFmtId="4" fontId="37" fillId="3" borderId="31" xfId="0" applyNumberFormat="1" applyFont="1" applyFill="1" applyBorder="1" applyAlignment="1">
      <alignment horizontal="right" wrapText="1"/>
    </xf>
    <xf numFmtId="168" fontId="34" fillId="0" borderId="10" xfId="0" applyNumberFormat="1" applyFont="1" applyBorder="1"/>
    <xf numFmtId="168" fontId="33" fillId="0" borderId="10" xfId="0" applyNumberFormat="1" applyFont="1" applyBorder="1"/>
    <xf numFmtId="168" fontId="41" fillId="0" borderId="10" xfId="0" applyNumberFormat="1" applyFont="1" applyBorder="1"/>
    <xf numFmtId="0" fontId="59" fillId="7" borderId="0" xfId="0" applyFont="1" applyFill="1"/>
    <xf numFmtId="4" fontId="34" fillId="0" borderId="10" xfId="0" applyNumberFormat="1" applyFont="1" applyBorder="1" applyAlignment="1">
      <alignment wrapText="1"/>
    </xf>
    <xf numFmtId="4" fontId="33" fillId="0" borderId="0" xfId="0" applyNumberFormat="1" applyFont="1"/>
    <xf numFmtId="168" fontId="9" fillId="0" borderId="10" xfId="0" applyNumberFormat="1" applyFont="1" applyBorder="1" applyAlignment="1">
      <alignment horizontal="right"/>
    </xf>
    <xf numFmtId="168" fontId="41" fillId="0" borderId="10" xfId="0" applyNumberFormat="1" applyFont="1" applyBorder="1" applyAlignment="1">
      <alignment horizontal="right"/>
    </xf>
    <xf numFmtId="168" fontId="33" fillId="0" borderId="10" xfId="0" applyNumberFormat="1" applyFont="1" applyBorder="1" applyAlignment="1">
      <alignment horizontal="right"/>
    </xf>
    <xf numFmtId="168" fontId="33" fillId="0" borderId="10" xfId="0" applyNumberFormat="1" applyFont="1" applyBorder="1" applyAlignment="1">
      <alignment horizontal="right" wrapText="1"/>
    </xf>
    <xf numFmtId="0" fontId="33" fillId="0" borderId="10" xfId="0" applyFont="1" applyBorder="1" applyAlignment="1">
      <alignment horizontal="right"/>
    </xf>
    <xf numFmtId="4" fontId="9" fillId="3" borderId="30" xfId="0" applyNumberFormat="1" applyFont="1" applyFill="1" applyBorder="1" applyAlignment="1">
      <alignment horizontal="right"/>
    </xf>
    <xf numFmtId="4" fontId="17" fillId="0" borderId="31" xfId="0" applyNumberFormat="1" applyFont="1" applyBorder="1" applyAlignment="1">
      <alignment horizontal="right"/>
    </xf>
    <xf numFmtId="0" fontId="9" fillId="11" borderId="34" xfId="0" applyFont="1" applyFill="1" applyBorder="1" applyAlignment="1">
      <alignment horizontal="left"/>
    </xf>
    <xf numFmtId="0" fontId="9" fillId="11" borderId="30" xfId="0" applyFont="1" applyFill="1" applyBorder="1" applyAlignment="1">
      <alignment horizontal="left" wrapText="1"/>
    </xf>
    <xf numFmtId="0" fontId="9" fillId="11" borderId="35" xfId="0" applyFont="1" applyFill="1" applyBorder="1" applyAlignment="1">
      <alignment horizontal="left" wrapText="1"/>
    </xf>
    <xf numFmtId="0" fontId="4" fillId="11" borderId="30" xfId="0" applyFont="1" applyFill="1" applyBorder="1" applyAlignment="1">
      <alignment horizontal="left" wrapText="1"/>
    </xf>
    <xf numFmtId="4" fontId="9" fillId="11" borderId="30" xfId="0" applyNumberFormat="1" applyFont="1" applyFill="1" applyBorder="1" applyAlignment="1">
      <alignment wrapText="1"/>
    </xf>
    <xf numFmtId="4" fontId="9" fillId="11" borderId="31" xfId="0" applyNumberFormat="1" applyFont="1" applyFill="1" applyBorder="1" applyAlignment="1">
      <alignment wrapText="1"/>
    </xf>
    <xf numFmtId="4" fontId="9" fillId="0" borderId="30" xfId="0" applyNumberFormat="1" applyFont="1" applyBorder="1"/>
    <xf numFmtId="4" fontId="32" fillId="0" borderId="31" xfId="0" applyNumberFormat="1" applyFont="1" applyBorder="1" applyAlignment="1">
      <alignment wrapText="1"/>
    </xf>
    <xf numFmtId="3" fontId="6" fillId="0" borderId="33" xfId="0" applyNumberFormat="1" applyFont="1" applyBorder="1" applyAlignment="1">
      <alignment wrapText="1"/>
    </xf>
    <xf numFmtId="0" fontId="38" fillId="0" borderId="28" xfId="0" applyFont="1" applyBorder="1" applyAlignment="1">
      <alignment horizontal="center" wrapText="1"/>
    </xf>
    <xf numFmtId="0" fontId="38" fillId="0" borderId="29" xfId="0" applyFont="1" applyBorder="1" applyAlignment="1">
      <alignment horizontal="center" wrapText="1"/>
    </xf>
    <xf numFmtId="0" fontId="33" fillId="0" borderId="28" xfId="0" applyFont="1" applyBorder="1" applyAlignment="1">
      <alignment horizontal="center" wrapText="1"/>
    </xf>
    <xf numFmtId="0" fontId="33" fillId="0" borderId="29" xfId="0" applyFont="1" applyBorder="1" applyAlignment="1">
      <alignment horizontal="center" wrapText="1"/>
    </xf>
    <xf numFmtId="0" fontId="22" fillId="3" borderId="30" xfId="0" applyFont="1" applyFill="1" applyBorder="1" applyAlignment="1">
      <alignment horizontal="left" vertical="top" wrapText="1"/>
    </xf>
    <xf numFmtId="4" fontId="33" fillId="3" borderId="30" xfId="0" applyNumberFormat="1" applyFont="1" applyFill="1" applyBorder="1" applyAlignment="1">
      <alignment horizontal="right" vertical="top" wrapText="1"/>
    </xf>
    <xf numFmtId="0" fontId="33" fillId="3" borderId="33" xfId="0" applyFont="1" applyFill="1" applyBorder="1" applyAlignment="1">
      <alignment horizontal="right" vertical="top" wrapText="1"/>
    </xf>
    <xf numFmtId="3" fontId="6" fillId="0" borderId="10" xfId="0" applyNumberFormat="1" applyFont="1" applyBorder="1" applyAlignment="1">
      <alignment wrapText="1"/>
    </xf>
    <xf numFmtId="0" fontId="33" fillId="3" borderId="10" xfId="0" applyFont="1" applyFill="1" applyBorder="1" applyAlignment="1">
      <alignment horizontal="right" vertical="top" wrapText="1"/>
    </xf>
    <xf numFmtId="4" fontId="31" fillId="11" borderId="38" xfId="0" applyNumberFormat="1" applyFont="1" applyFill="1" applyBorder="1" applyAlignment="1">
      <alignment wrapText="1"/>
    </xf>
    <xf numFmtId="4" fontId="9" fillId="11" borderId="33" xfId="0" applyNumberFormat="1" applyFont="1" applyFill="1" applyBorder="1" applyAlignment="1">
      <alignment wrapText="1"/>
    </xf>
    <xf numFmtId="2" fontId="10" fillId="0" borderId="34" xfId="0" applyNumberFormat="1" applyFont="1" applyBorder="1" applyAlignment="1">
      <alignment horizontal="left"/>
    </xf>
    <xf numFmtId="2" fontId="10" fillId="0" borderId="30" xfId="0" applyNumberFormat="1" applyFont="1" applyBorder="1" applyAlignment="1">
      <alignment horizontal="left" wrapText="1"/>
    </xf>
    <xf numFmtId="2" fontId="10" fillId="0" borderId="35" xfId="0" applyNumberFormat="1" applyFont="1" applyBorder="1" applyAlignment="1">
      <alignment horizontal="left" wrapText="1"/>
    </xf>
    <xf numFmtId="2" fontId="6" fillId="0" borderId="34" xfId="0" applyNumberFormat="1" applyFont="1" applyBorder="1" applyAlignment="1">
      <alignment horizontal="left"/>
    </xf>
    <xf numFmtId="2" fontId="6" fillId="0" borderId="30" xfId="0" applyNumberFormat="1" applyFont="1" applyBorder="1" applyAlignment="1">
      <alignment horizontal="left" wrapText="1"/>
    </xf>
    <xf numFmtId="2" fontId="6" fillId="0" borderId="35" xfId="0" applyNumberFormat="1" applyFont="1" applyBorder="1" applyAlignment="1">
      <alignment horizontal="left" wrapText="1"/>
    </xf>
    <xf numFmtId="2" fontId="5" fillId="0" borderId="30" xfId="0" applyNumberFormat="1" applyFont="1" applyBorder="1" applyAlignment="1">
      <alignment horizontal="left" wrapText="1"/>
    </xf>
    <xf numFmtId="2" fontId="28" fillId="0" borderId="30" xfId="0" applyNumberFormat="1" applyFont="1" applyBorder="1" applyAlignment="1">
      <alignment horizontal="center" wrapText="1"/>
    </xf>
    <xf numFmtId="4" fontId="41" fillId="3" borderId="30" xfId="0" applyNumberFormat="1" applyFont="1" applyFill="1" applyBorder="1" applyAlignment="1">
      <alignment wrapText="1"/>
    </xf>
    <xf numFmtId="0" fontId="27" fillId="7" borderId="34" xfId="0" applyFont="1" applyFill="1" applyBorder="1" applyAlignment="1">
      <alignment horizontal="left"/>
    </xf>
    <xf numFmtId="0" fontId="27" fillId="7" borderId="30" xfId="0" applyFont="1" applyFill="1" applyBorder="1" applyAlignment="1">
      <alignment horizontal="left" wrapText="1"/>
    </xf>
    <xf numFmtId="0" fontId="27" fillId="7" borderId="35" xfId="0" applyFont="1" applyFill="1" applyBorder="1" applyAlignment="1">
      <alignment horizontal="left" wrapText="1"/>
    </xf>
    <xf numFmtId="0" fontId="30" fillId="7" borderId="30" xfId="0" applyFont="1" applyFill="1" applyBorder="1" applyAlignment="1">
      <alignment horizontal="center" wrapText="1"/>
    </xf>
    <xf numFmtId="4" fontId="27" fillId="7" borderId="30" xfId="0" applyNumberFormat="1" applyFont="1" applyFill="1" applyBorder="1" applyAlignment="1">
      <alignment wrapText="1"/>
    </xf>
    <xf numFmtId="4" fontId="31" fillId="7" borderId="31" xfId="0" applyNumberFormat="1" applyFont="1" applyFill="1" applyBorder="1" applyAlignment="1">
      <alignment wrapText="1"/>
    </xf>
    <xf numFmtId="4" fontId="9" fillId="7" borderId="33" xfId="0" applyNumberFormat="1" applyFont="1" applyFill="1" applyBorder="1" applyAlignment="1">
      <alignment wrapText="1"/>
    </xf>
    <xf numFmtId="0" fontId="9" fillId="7" borderId="34" xfId="0" applyFont="1" applyFill="1" applyBorder="1" applyAlignment="1">
      <alignment horizontal="left"/>
    </xf>
    <xf numFmtId="0" fontId="9" fillId="7" borderId="30" xfId="0" applyFont="1" applyFill="1" applyBorder="1" applyAlignment="1">
      <alignment horizontal="left"/>
    </xf>
    <xf numFmtId="0" fontId="9" fillId="7" borderId="35" xfId="0" applyFont="1" applyFill="1" applyBorder="1" applyAlignment="1">
      <alignment horizontal="left"/>
    </xf>
    <xf numFmtId="0" fontId="4" fillId="7" borderId="30" xfId="0" applyFont="1" applyFill="1" applyBorder="1" applyAlignment="1">
      <alignment horizontal="left"/>
    </xf>
    <xf numFmtId="4" fontId="9" fillId="7" borderId="30" xfId="0" applyNumberFormat="1" applyFont="1" applyFill="1" applyBorder="1"/>
    <xf numFmtId="4" fontId="9" fillId="7" borderId="31" xfId="0" applyNumberFormat="1" applyFont="1" applyFill="1" applyBorder="1"/>
    <xf numFmtId="4" fontId="9" fillId="7" borderId="33" xfId="0" applyNumberFormat="1" applyFont="1" applyFill="1" applyBorder="1"/>
    <xf numFmtId="0" fontId="27" fillId="7" borderId="30" xfId="0" applyFont="1" applyFill="1" applyBorder="1" applyAlignment="1">
      <alignment horizontal="left"/>
    </xf>
    <xf numFmtId="0" fontId="27" fillId="7" borderId="35" xfId="0" applyFont="1" applyFill="1" applyBorder="1" applyAlignment="1">
      <alignment horizontal="left"/>
    </xf>
    <xf numFmtId="0" fontId="30" fillId="7" borderId="30" xfId="0" applyFont="1" applyFill="1" applyBorder="1" applyAlignment="1">
      <alignment horizontal="center"/>
    </xf>
    <xf numFmtId="4" fontId="27" fillId="7" borderId="30" xfId="0" applyNumberFormat="1" applyFont="1" applyFill="1" applyBorder="1"/>
    <xf numFmtId="4" fontId="31" fillId="7" borderId="31" xfId="0" applyNumberFormat="1" applyFont="1" applyFill="1" applyBorder="1"/>
    <xf numFmtId="0" fontId="9" fillId="7" borderId="30" xfId="0" applyFont="1" applyFill="1" applyBorder="1" applyAlignment="1">
      <alignment horizontal="left" wrapText="1"/>
    </xf>
    <xf numFmtId="0" fontId="9" fillId="7" borderId="35" xfId="0" applyFont="1" applyFill="1" applyBorder="1" applyAlignment="1">
      <alignment horizontal="left" wrapText="1"/>
    </xf>
    <xf numFmtId="0" fontId="4" fillId="7" borderId="30" xfId="0" applyFont="1" applyFill="1" applyBorder="1" applyAlignment="1">
      <alignment horizontal="center" wrapText="1"/>
    </xf>
    <xf numFmtId="4" fontId="9" fillId="7" borderId="30" xfId="0" applyNumberFormat="1" applyFont="1" applyFill="1" applyBorder="1" applyAlignment="1">
      <alignment wrapText="1"/>
    </xf>
    <xf numFmtId="4" fontId="9" fillId="7" borderId="31" xfId="0" applyNumberFormat="1" applyFont="1" applyFill="1" applyBorder="1" applyAlignment="1">
      <alignment wrapText="1"/>
    </xf>
    <xf numFmtId="0" fontId="6" fillId="7" borderId="34" xfId="0" applyFont="1" applyFill="1" applyBorder="1" applyAlignment="1">
      <alignment horizontal="left"/>
    </xf>
    <xf numFmtId="0" fontId="6" fillId="7" borderId="30" xfId="0" applyFont="1" applyFill="1" applyBorder="1" applyAlignment="1">
      <alignment horizontal="left" wrapText="1"/>
    </xf>
    <xf numFmtId="0" fontId="6" fillId="7" borderId="35" xfId="0" applyFont="1" applyFill="1" applyBorder="1" applyAlignment="1">
      <alignment horizontal="left" wrapText="1"/>
    </xf>
    <xf numFmtId="0" fontId="5" fillId="7" borderId="30" xfId="0" applyFont="1" applyFill="1" applyBorder="1" applyAlignment="1">
      <alignment horizontal="left" wrapText="1"/>
    </xf>
    <xf numFmtId="4" fontId="6" fillId="7" borderId="30" xfId="0" applyNumberFormat="1" applyFont="1" applyFill="1" applyBorder="1" applyAlignment="1">
      <alignment wrapText="1"/>
    </xf>
    <xf numFmtId="4" fontId="6" fillId="7" borderId="31" xfId="0" applyNumberFormat="1" applyFont="1" applyFill="1" applyBorder="1" applyAlignment="1">
      <alignment wrapText="1"/>
    </xf>
    <xf numFmtId="4" fontId="6" fillId="7" borderId="33" xfId="0" applyNumberFormat="1" applyFont="1" applyFill="1" applyBorder="1" applyAlignment="1">
      <alignment wrapText="1"/>
    </xf>
    <xf numFmtId="0" fontId="5" fillId="7" borderId="30" xfId="0" applyFont="1" applyFill="1" applyBorder="1" applyAlignment="1">
      <alignment horizontal="center" wrapText="1"/>
    </xf>
    <xf numFmtId="0" fontId="10" fillId="7" borderId="50" xfId="0" applyFont="1" applyFill="1" applyBorder="1" applyAlignment="1">
      <alignment horizontal="left"/>
    </xf>
    <xf numFmtId="0" fontId="10" fillId="7" borderId="51" xfId="0" applyFont="1" applyFill="1" applyBorder="1" applyAlignment="1">
      <alignment horizontal="left" wrapText="1"/>
    </xf>
    <xf numFmtId="0" fontId="10" fillId="7" borderId="52" xfId="0" applyFont="1" applyFill="1" applyBorder="1" applyAlignment="1">
      <alignment horizontal="left" wrapText="1"/>
    </xf>
    <xf numFmtId="0" fontId="28" fillId="7" borderId="51" xfId="0" applyFont="1" applyFill="1" applyBorder="1" applyAlignment="1">
      <alignment horizontal="center" wrapText="1"/>
    </xf>
    <xf numFmtId="4" fontId="10" fillId="7" borderId="51" xfId="0" applyNumberFormat="1" applyFont="1" applyFill="1" applyBorder="1" applyAlignment="1">
      <alignment wrapText="1"/>
    </xf>
    <xf numFmtId="4" fontId="32" fillId="7" borderId="53" xfId="0" applyNumberFormat="1" applyFont="1" applyFill="1" applyBorder="1" applyAlignment="1">
      <alignment wrapText="1"/>
    </xf>
    <xf numFmtId="4" fontId="6" fillId="7" borderId="54" xfId="0" applyNumberFormat="1" applyFont="1" applyFill="1" applyBorder="1" applyAlignment="1">
      <alignment wrapText="1"/>
    </xf>
    <xf numFmtId="0" fontId="27" fillId="0" borderId="0" xfId="0" applyFont="1"/>
    <xf numFmtId="4" fontId="28" fillId="0" borderId="0" xfId="0" applyNumberFormat="1" applyFont="1" applyAlignment="1">
      <alignment horizontal="center"/>
    </xf>
    <xf numFmtId="0" fontId="9" fillId="0" borderId="0" xfId="0" applyFont="1" applyAlignment="1">
      <alignment horizontal="center" vertical="center" wrapText="1"/>
    </xf>
    <xf numFmtId="4" fontId="9" fillId="0" borderId="0" xfId="0" applyNumberFormat="1" applyFont="1" applyAlignment="1">
      <alignment horizontal="center"/>
    </xf>
    <xf numFmtId="0" fontId="60" fillId="0" borderId="0" xfId="0" applyFont="1" applyAlignment="1">
      <alignment vertical="top"/>
    </xf>
    <xf numFmtId="4" fontId="9" fillId="11" borderId="10" xfId="0" applyNumberFormat="1" applyFont="1" applyFill="1" applyBorder="1" applyAlignment="1">
      <alignment wrapText="1"/>
    </xf>
    <xf numFmtId="4" fontId="9" fillId="7" borderId="10" xfId="0" applyNumberFormat="1" applyFont="1" applyFill="1" applyBorder="1" applyAlignment="1">
      <alignment wrapText="1"/>
    </xf>
    <xf numFmtId="4" fontId="9" fillId="7" borderId="10" xfId="0" applyNumberFormat="1" applyFont="1" applyFill="1" applyBorder="1"/>
    <xf numFmtId="4" fontId="6" fillId="7" borderId="10" xfId="0" applyNumberFormat="1" applyFont="1" applyFill="1" applyBorder="1" applyAlignment="1">
      <alignment wrapText="1"/>
    </xf>
    <xf numFmtId="4" fontId="6" fillId="7" borderId="17" xfId="0" applyNumberFormat="1" applyFont="1" applyFill="1" applyBorder="1" applyAlignment="1">
      <alignment wrapText="1"/>
    </xf>
    <xf numFmtId="169" fontId="6" fillId="0" borderId="0" xfId="0" applyNumberFormat="1" applyFont="1"/>
    <xf numFmtId="4" fontId="28" fillId="0" borderId="10" xfId="0" applyNumberFormat="1" applyFont="1" applyBorder="1" applyAlignment="1">
      <alignment horizontal="right"/>
    </xf>
    <xf numFmtId="4" fontId="30" fillId="0" borderId="30" xfId="0" applyNumberFormat="1" applyFont="1" applyBorder="1" applyAlignment="1">
      <alignment wrapText="1"/>
    </xf>
    <xf numFmtId="0" fontId="30" fillId="0" borderId="29" xfId="0" applyFont="1" applyBorder="1" applyAlignment="1">
      <alignment horizontal="left" wrapText="1" indent="1"/>
    </xf>
    <xf numFmtId="4" fontId="52" fillId="0" borderId="31" xfId="0" applyNumberFormat="1" applyFont="1" applyBorder="1" applyAlignment="1">
      <alignment wrapText="1"/>
    </xf>
    <xf numFmtId="0" fontId="30" fillId="0" borderId="30" xfId="0" applyFont="1" applyBorder="1" applyAlignment="1">
      <alignment horizontal="left" wrapText="1"/>
    </xf>
    <xf numFmtId="4" fontId="27" fillId="0" borderId="31" xfId="0" applyNumberFormat="1" applyFont="1" applyBorder="1" applyAlignment="1">
      <alignment horizontal="right"/>
    </xf>
    <xf numFmtId="0" fontId="4" fillId="3" borderId="30" xfId="0" applyFont="1" applyFill="1" applyBorder="1" applyAlignment="1">
      <alignment horizontal="center"/>
    </xf>
    <xf numFmtId="0" fontId="22" fillId="3" borderId="30" xfId="0" quotePrefix="1" applyFont="1" applyFill="1" applyBorder="1" applyAlignment="1">
      <alignment horizontal="center" wrapText="1"/>
    </xf>
    <xf numFmtId="0" fontId="22" fillId="3" borderId="30" xfId="0" quotePrefix="1" applyFont="1" applyFill="1" applyBorder="1" applyAlignment="1">
      <alignment horizontal="left" wrapText="1"/>
    </xf>
    <xf numFmtId="0" fontId="4" fillId="11" borderId="30" xfId="0" applyFont="1" applyFill="1" applyBorder="1" applyAlignment="1">
      <alignment horizontal="center" wrapText="1"/>
    </xf>
    <xf numFmtId="4" fontId="6" fillId="16" borderId="30" xfId="0" applyNumberFormat="1" applyFont="1" applyFill="1" applyBorder="1" applyAlignment="1">
      <alignment horizontal="right" vertical="top"/>
    </xf>
    <xf numFmtId="0" fontId="33" fillId="0" borderId="38" xfId="0" applyFont="1" applyBorder="1" applyAlignment="1">
      <alignment wrapText="1"/>
    </xf>
    <xf numFmtId="4" fontId="0" fillId="0" borderId="0" xfId="0" applyNumberFormat="1"/>
    <xf numFmtId="0" fontId="84" fillId="2" borderId="10" xfId="0" applyFont="1" applyFill="1" applyBorder="1"/>
    <xf numFmtId="0" fontId="85" fillId="3" borderId="10" xfId="0" applyFont="1" applyFill="1" applyBorder="1"/>
    <xf numFmtId="4" fontId="84" fillId="2" borderId="10" xfId="0" applyNumberFormat="1" applyFont="1" applyFill="1" applyBorder="1"/>
    <xf numFmtId="0" fontId="86" fillId="3" borderId="10" xfId="0" applyFont="1" applyFill="1" applyBorder="1"/>
    <xf numFmtId="0" fontId="87" fillId="3" borderId="10" xfId="0" applyFont="1" applyFill="1" applyBorder="1"/>
    <xf numFmtId="0" fontId="83" fillId="3" borderId="10" xfId="0" applyFont="1" applyFill="1" applyBorder="1"/>
    <xf numFmtId="0" fontId="84" fillId="2" borderId="0" xfId="0" applyFont="1" applyFill="1"/>
    <xf numFmtId="0" fontId="85" fillId="3" borderId="15" xfId="0" applyFont="1" applyFill="1" applyBorder="1"/>
    <xf numFmtId="0" fontId="83" fillId="3" borderId="12" xfId="0" applyFont="1" applyFill="1" applyBorder="1"/>
    <xf numFmtId="1" fontId="84" fillId="2" borderId="0" xfId="0" applyNumberFormat="1" applyFont="1" applyFill="1"/>
    <xf numFmtId="2" fontId="85" fillId="3" borderId="0" xfId="0" applyNumberFormat="1" applyFont="1" applyFill="1"/>
    <xf numFmtId="0" fontId="85" fillId="3" borderId="12" xfId="0" applyFont="1" applyFill="1" applyBorder="1"/>
    <xf numFmtId="4" fontId="84" fillId="2" borderId="0" xfId="0" applyNumberFormat="1" applyFont="1" applyFill="1"/>
    <xf numFmtId="0" fontId="88" fillId="2" borderId="0" xfId="0" applyFont="1" applyFill="1"/>
    <xf numFmtId="0" fontId="89" fillId="2" borderId="0" xfId="0" applyFont="1" applyFill="1"/>
    <xf numFmtId="0" fontId="88" fillId="2" borderId="10" xfId="0" applyFont="1" applyFill="1" applyBorder="1"/>
    <xf numFmtId="4" fontId="88" fillId="2" borderId="10" xfId="0" applyNumberFormat="1" applyFont="1" applyFill="1" applyBorder="1"/>
    <xf numFmtId="4" fontId="89" fillId="2" borderId="10" xfId="0" applyNumberFormat="1" applyFont="1" applyFill="1" applyBorder="1"/>
    <xf numFmtId="4" fontId="90" fillId="2" borderId="10" xfId="0" applyNumberFormat="1" applyFont="1" applyFill="1" applyBorder="1"/>
    <xf numFmtId="4" fontId="88" fillId="2" borderId="0" xfId="0" applyNumberFormat="1" applyFont="1" applyFill="1"/>
    <xf numFmtId="0" fontId="91" fillId="4" borderId="0" xfId="0" applyFont="1" applyFill="1"/>
    <xf numFmtId="0" fontId="92" fillId="4" borderId="0" xfId="0" applyFont="1" applyFill="1"/>
    <xf numFmtId="2" fontId="91" fillId="4" borderId="0" xfId="0" applyNumberFormat="1" applyFont="1" applyFill="1"/>
    <xf numFmtId="0" fontId="91" fillId="4" borderId="10" xfId="0" applyFont="1" applyFill="1" applyBorder="1"/>
    <xf numFmtId="4" fontId="91" fillId="4" borderId="10" xfId="0" applyNumberFormat="1" applyFont="1" applyFill="1" applyBorder="1"/>
    <xf numFmtId="4" fontId="89" fillId="4" borderId="10" xfId="0" applyNumberFormat="1" applyFont="1" applyFill="1" applyBorder="1"/>
    <xf numFmtId="4" fontId="90" fillId="4" borderId="10" xfId="0" applyNumberFormat="1" applyFont="1" applyFill="1" applyBorder="1"/>
    <xf numFmtId="4" fontId="88" fillId="4" borderId="10" xfId="0" applyNumberFormat="1" applyFont="1" applyFill="1" applyBorder="1"/>
    <xf numFmtId="0" fontId="88" fillId="4" borderId="10" xfId="0" applyFont="1" applyFill="1" applyBorder="1"/>
    <xf numFmtId="0" fontId="88" fillId="4" borderId="0" xfId="0" applyFont="1" applyFill="1"/>
    <xf numFmtId="1" fontId="91" fillId="4" borderId="0" xfId="0" applyNumberFormat="1" applyFont="1" applyFill="1"/>
    <xf numFmtId="4" fontId="91" fillId="4" borderId="0" xfId="0" applyNumberFormat="1" applyFont="1" applyFill="1"/>
    <xf numFmtId="2" fontId="91" fillId="4" borderId="10" xfId="0" applyNumberFormat="1" applyFont="1" applyFill="1" applyBorder="1"/>
    <xf numFmtId="3" fontId="91" fillId="4" borderId="10" xfId="0" applyNumberFormat="1" applyFont="1" applyFill="1" applyBorder="1"/>
    <xf numFmtId="0" fontId="91" fillId="3" borderId="0" xfId="0" applyFont="1" applyFill="1"/>
    <xf numFmtId="0" fontId="92" fillId="3" borderId="0" xfId="0" applyFont="1" applyFill="1"/>
    <xf numFmtId="0" fontId="91" fillId="3" borderId="10" xfId="0" applyFont="1" applyFill="1" applyBorder="1"/>
    <xf numFmtId="0" fontId="89" fillId="3" borderId="10" xfId="0" applyFont="1" applyFill="1" applyBorder="1"/>
    <xf numFmtId="0" fontId="90" fillId="3" borderId="10" xfId="0" applyFont="1" applyFill="1" applyBorder="1"/>
    <xf numFmtId="0" fontId="88" fillId="3" borderId="10" xfId="0" applyFont="1" applyFill="1" applyBorder="1"/>
    <xf numFmtId="0" fontId="88" fillId="3" borderId="0" xfId="0" applyFont="1" applyFill="1"/>
    <xf numFmtId="0" fontId="88" fillId="2" borderId="5" xfId="0" applyFont="1" applyFill="1" applyBorder="1"/>
    <xf numFmtId="165" fontId="88" fillId="2" borderId="0" xfId="0" applyNumberFormat="1" applyFont="1" applyFill="1"/>
    <xf numFmtId="0" fontId="88" fillId="2" borderId="6" xfId="0" applyFont="1" applyFill="1" applyBorder="1"/>
    <xf numFmtId="0" fontId="89" fillId="2" borderId="10" xfId="0" applyFont="1" applyFill="1" applyBorder="1"/>
    <xf numFmtId="0" fontId="90" fillId="2" borderId="10" xfId="0" applyFont="1" applyFill="1" applyBorder="1"/>
    <xf numFmtId="1" fontId="88" fillId="2" borderId="0" xfId="0" applyNumberFormat="1" applyFont="1" applyFill="1"/>
    <xf numFmtId="0" fontId="27" fillId="0" borderId="0" xfId="0" applyFont="1" applyAlignment="1">
      <alignment horizontal="right"/>
    </xf>
    <xf numFmtId="0" fontId="30" fillId="0" borderId="0" xfId="0" applyFont="1"/>
    <xf numFmtId="0" fontId="28" fillId="0" borderId="0" xfId="0" applyFont="1"/>
    <xf numFmtId="164" fontId="10" fillId="0" borderId="0" xfId="0" applyNumberFormat="1" applyFont="1" applyAlignment="1">
      <alignment horizontal="left"/>
    </xf>
    <xf numFmtId="4" fontId="10" fillId="0" borderId="0" xfId="0" applyNumberFormat="1" applyFont="1" applyAlignment="1">
      <alignment horizontal="right"/>
    </xf>
    <xf numFmtId="164" fontId="28" fillId="0" borderId="0" xfId="0" applyNumberFormat="1" applyFont="1" applyAlignment="1">
      <alignment horizontal="left"/>
    </xf>
    <xf numFmtId="0" fontId="10" fillId="0" borderId="0" xfId="0" applyFont="1" applyAlignment="1">
      <alignment vertical="center"/>
    </xf>
    <xf numFmtId="168" fontId="10" fillId="0" borderId="0" xfId="0" applyNumberFormat="1" applyFont="1"/>
    <xf numFmtId="0" fontId="10" fillId="0" borderId="1" xfId="0" applyFont="1" applyBorder="1"/>
    <xf numFmtId="0" fontId="28" fillId="0" borderId="56" xfId="0" applyFont="1" applyBorder="1" applyAlignment="1">
      <alignment horizontal="center" vertical="center"/>
    </xf>
    <xf numFmtId="164" fontId="28" fillId="0" borderId="57" xfId="0" applyNumberFormat="1" applyFont="1" applyBorder="1" applyAlignment="1">
      <alignment horizontal="center" vertical="center" wrapText="1"/>
    </xf>
    <xf numFmtId="0" fontId="10" fillId="0" borderId="3" xfId="0" applyFont="1" applyBorder="1"/>
    <xf numFmtId="0" fontId="10" fillId="0" borderId="7" xfId="0" applyFont="1" applyBorder="1"/>
    <xf numFmtId="0" fontId="28" fillId="0" borderId="8" xfId="0" applyFont="1" applyBorder="1" applyAlignment="1">
      <alignment horizontal="center" vertical="center"/>
    </xf>
    <xf numFmtId="0" fontId="10" fillId="0" borderId="61" xfId="0" applyFont="1" applyBorder="1" applyAlignment="1">
      <alignment horizontal="center" vertical="center" wrapText="1"/>
    </xf>
    <xf numFmtId="164" fontId="60" fillId="0" borderId="9" xfId="0" applyNumberFormat="1" applyFont="1" applyBorder="1" applyAlignment="1">
      <alignment horizontal="center"/>
    </xf>
    <xf numFmtId="164" fontId="60" fillId="0" borderId="10" xfId="0" applyNumberFormat="1" applyFont="1" applyBorder="1" applyAlignment="1">
      <alignment horizontal="center"/>
    </xf>
    <xf numFmtId="1" fontId="60" fillId="0" borderId="63" xfId="0" applyNumberFormat="1" applyFont="1" applyBorder="1" applyAlignment="1">
      <alignment horizontal="center"/>
    </xf>
    <xf numFmtId="1" fontId="60" fillId="0" borderId="10" xfId="0" applyNumberFormat="1" applyFont="1" applyBorder="1" applyAlignment="1">
      <alignment horizontal="center"/>
    </xf>
    <xf numFmtId="1" fontId="60" fillId="0" borderId="64" xfId="0" applyNumberFormat="1" applyFont="1" applyBorder="1" applyAlignment="1">
      <alignment horizontal="center"/>
    </xf>
    <xf numFmtId="165" fontId="60" fillId="0" borderId="10" xfId="0" applyNumberFormat="1" applyFont="1" applyBorder="1" applyAlignment="1">
      <alignment horizontal="center"/>
    </xf>
    <xf numFmtId="165" fontId="60" fillId="0" borderId="49" xfId="0" applyNumberFormat="1" applyFont="1" applyBorder="1" applyAlignment="1">
      <alignment horizontal="center"/>
    </xf>
    <xf numFmtId="164" fontId="60" fillId="0" borderId="3" xfId="0" applyNumberFormat="1" applyFont="1" applyBorder="1" applyAlignment="1">
      <alignment horizontal="center"/>
    </xf>
    <xf numFmtId="164" fontId="60" fillId="0" borderId="4" xfId="0" applyNumberFormat="1" applyFont="1" applyBorder="1" applyAlignment="1">
      <alignment horizontal="center"/>
    </xf>
    <xf numFmtId="1" fontId="28" fillId="0" borderId="0" xfId="0" applyNumberFormat="1" applyFont="1" applyAlignment="1">
      <alignment horizontal="center"/>
    </xf>
    <xf numFmtId="1" fontId="28" fillId="0" borderId="4" xfId="0" applyNumberFormat="1" applyFont="1" applyBorder="1" applyAlignment="1">
      <alignment horizontal="center"/>
    </xf>
    <xf numFmtId="1" fontId="28" fillId="0" borderId="65" xfId="0" applyNumberFormat="1" applyFont="1" applyBorder="1" applyAlignment="1">
      <alignment horizontal="center"/>
    </xf>
    <xf numFmtId="1" fontId="28" fillId="0" borderId="58" xfId="0" applyNumberFormat="1" applyFont="1" applyBorder="1" applyAlignment="1">
      <alignment horizontal="center"/>
    </xf>
    <xf numFmtId="165" fontId="28" fillId="0" borderId="0" xfId="0" applyNumberFormat="1" applyFont="1" applyAlignment="1">
      <alignment horizontal="right"/>
    </xf>
    <xf numFmtId="0" fontId="28" fillId="0" borderId="67" xfId="0" applyFont="1" applyBorder="1"/>
    <xf numFmtId="164" fontId="30" fillId="0" borderId="3" xfId="0" applyNumberFormat="1" applyFont="1" applyBorder="1" applyAlignment="1">
      <alignment horizontal="left" vertical="top"/>
    </xf>
    <xf numFmtId="164" fontId="94" fillId="0" borderId="4" xfId="0" applyNumberFormat="1" applyFont="1" applyBorder="1" applyAlignment="1">
      <alignment horizontal="left" vertical="top"/>
    </xf>
    <xf numFmtId="4" fontId="30" fillId="0" borderId="0" xfId="0" applyNumberFormat="1" applyFont="1" applyAlignment="1">
      <alignment horizontal="right" vertical="top"/>
    </xf>
    <xf numFmtId="4" fontId="30" fillId="0" borderId="4" xfId="0" applyNumberFormat="1" applyFont="1" applyBorder="1" applyAlignment="1">
      <alignment horizontal="right" vertical="top"/>
    </xf>
    <xf numFmtId="4" fontId="30" fillId="0" borderId="58" xfId="0" applyNumberFormat="1" applyFont="1" applyBorder="1" applyAlignment="1">
      <alignment horizontal="right" vertical="top"/>
    </xf>
    <xf numFmtId="4" fontId="30" fillId="0" borderId="67" xfId="0" applyNumberFormat="1" applyFont="1" applyBorder="1" applyAlignment="1">
      <alignment horizontal="right" vertical="top"/>
    </xf>
    <xf numFmtId="0" fontId="30" fillId="0" borderId="0" xfId="0" applyFont="1" applyAlignment="1">
      <alignment vertical="top"/>
    </xf>
    <xf numFmtId="4" fontId="30" fillId="0" borderId="0" xfId="0" applyNumberFormat="1" applyFont="1" applyAlignment="1">
      <alignment vertical="top"/>
    </xf>
    <xf numFmtId="164" fontId="28" fillId="0" borderId="11" xfId="0" applyNumberFormat="1" applyFont="1" applyBorder="1"/>
    <xf numFmtId="164" fontId="60" fillId="0" borderId="10" xfId="0" applyNumberFormat="1" applyFont="1" applyBorder="1" applyAlignment="1">
      <alignment horizontal="left"/>
    </xf>
    <xf numFmtId="4" fontId="28" fillId="0" borderId="49" xfId="0" applyNumberFormat="1" applyFont="1" applyBorder="1" applyAlignment="1">
      <alignment horizontal="right"/>
    </xf>
    <xf numFmtId="164" fontId="28" fillId="0" borderId="11" xfId="0" applyNumberFormat="1" applyFont="1" applyBorder="1" applyAlignment="1">
      <alignment horizontal="left" wrapText="1"/>
    </xf>
    <xf numFmtId="164" fontId="28" fillId="0" borderId="11" xfId="0" applyNumberFormat="1" applyFont="1" applyBorder="1" applyAlignment="1">
      <alignment horizontal="left"/>
    </xf>
    <xf numFmtId="4" fontId="60" fillId="0" borderId="10" xfId="0" applyNumberFormat="1" applyFont="1" applyBorder="1"/>
    <xf numFmtId="164" fontId="27" fillId="0" borderId="11" xfId="0" applyNumberFormat="1" applyFont="1" applyBorder="1" applyAlignment="1">
      <alignment horizontal="left"/>
    </xf>
    <xf numFmtId="164" fontId="94" fillId="0" borderId="10" xfId="0" applyNumberFormat="1" applyFont="1" applyBorder="1" applyAlignment="1">
      <alignment horizontal="left"/>
    </xf>
    <xf numFmtId="4" fontId="30" fillId="0" borderId="10" xfId="0" applyNumberFormat="1" applyFont="1" applyBorder="1" applyAlignment="1">
      <alignment horizontal="right"/>
    </xf>
    <xf numFmtId="4" fontId="30" fillId="0" borderId="49" xfId="0" applyNumberFormat="1" applyFont="1" applyBorder="1" applyAlignment="1">
      <alignment horizontal="right"/>
    </xf>
    <xf numFmtId="164" fontId="49" fillId="0" borderId="11" xfId="0" applyNumberFormat="1" applyFont="1" applyBorder="1" applyAlignment="1">
      <alignment horizontal="left"/>
    </xf>
    <xf numFmtId="164" fontId="95" fillId="0" borderId="10" xfId="0" applyNumberFormat="1" applyFont="1" applyBorder="1" applyAlignment="1">
      <alignment horizontal="left"/>
    </xf>
    <xf numFmtId="4" fontId="49" fillId="0" borderId="10" xfId="0" applyNumberFormat="1" applyFont="1" applyBorder="1" applyAlignment="1">
      <alignment horizontal="right"/>
    </xf>
    <xf numFmtId="4" fontId="49" fillId="0" borderId="49" xfId="0" applyNumberFormat="1" applyFont="1" applyBorder="1" applyAlignment="1">
      <alignment horizontal="right"/>
    </xf>
    <xf numFmtId="3" fontId="28" fillId="0" borderId="0" xfId="0" applyNumberFormat="1" applyFont="1"/>
    <xf numFmtId="3" fontId="30" fillId="0" borderId="0" xfId="0" applyNumberFormat="1" applyFont="1"/>
    <xf numFmtId="164" fontId="28" fillId="0" borderId="11" xfId="0" applyNumberFormat="1" applyFont="1" applyBorder="1" applyAlignment="1">
      <alignment horizontal="left" vertical="top" wrapText="1"/>
    </xf>
    <xf numFmtId="3" fontId="49" fillId="0" borderId="0" xfId="0" applyNumberFormat="1" applyFont="1"/>
    <xf numFmtId="3" fontId="52" fillId="0" borderId="0" xfId="0" applyNumberFormat="1" applyFont="1"/>
    <xf numFmtId="0" fontId="49" fillId="0" borderId="0" xfId="0" applyFont="1"/>
    <xf numFmtId="0" fontId="28" fillId="0" borderId="11" xfId="0" applyFont="1" applyBorder="1" applyAlignment="1">
      <alignment horizontal="left" wrapText="1"/>
    </xf>
    <xf numFmtId="164" fontId="49" fillId="0" borderId="11" xfId="0" applyNumberFormat="1" applyFont="1" applyBorder="1" applyAlignment="1">
      <alignment horizontal="left" wrapText="1"/>
    </xf>
    <xf numFmtId="4" fontId="49" fillId="0" borderId="0" xfId="0" applyNumberFormat="1" applyFont="1"/>
    <xf numFmtId="164" fontId="27" fillId="0" borderId="11" xfId="0" applyNumberFormat="1" applyFont="1" applyBorder="1" applyAlignment="1">
      <alignment horizontal="left" vertical="center" wrapText="1"/>
    </xf>
    <xf numFmtId="164" fontId="30" fillId="0" borderId="11" xfId="0" applyNumberFormat="1" applyFont="1" applyBorder="1" applyAlignment="1">
      <alignment horizontal="left" wrapText="1"/>
    </xf>
    <xf numFmtId="4" fontId="28" fillId="15" borderId="10" xfId="0" applyNumberFormat="1" applyFont="1" applyFill="1" applyBorder="1" applyAlignment="1">
      <alignment horizontal="right"/>
    </xf>
    <xf numFmtId="164" fontId="49" fillId="0" borderId="16" xfId="0" applyNumberFormat="1" applyFont="1" applyBorder="1" applyAlignment="1">
      <alignment horizontal="left" wrapText="1"/>
    </xf>
    <xf numFmtId="164" fontId="60" fillId="0" borderId="17" xfId="0" applyNumberFormat="1" applyFont="1" applyBorder="1" applyAlignment="1">
      <alignment horizontal="left"/>
    </xf>
    <xf numFmtId="4" fontId="28" fillId="0" borderId="17" xfId="0" applyNumberFormat="1" applyFont="1" applyBorder="1" applyAlignment="1">
      <alignment horizontal="right"/>
    </xf>
    <xf numFmtId="4" fontId="28" fillId="0" borderId="69" xfId="0" applyNumberFormat="1" applyFont="1" applyBorder="1" applyAlignment="1">
      <alignment horizontal="right"/>
    </xf>
    <xf numFmtId="168" fontId="28" fillId="0" borderId="0" xfId="0" applyNumberFormat="1" applyFont="1"/>
    <xf numFmtId="0" fontId="28" fillId="0" borderId="0" xfId="0" applyFont="1" applyAlignment="1">
      <alignment horizontal="left"/>
    </xf>
    <xf numFmtId="0" fontId="10" fillId="0" borderId="0" xfId="0" applyFont="1" applyAlignment="1">
      <alignment horizontal="left"/>
    </xf>
    <xf numFmtId="4" fontId="30" fillId="0" borderId="0" xfId="0" applyNumberFormat="1" applyFont="1" applyAlignment="1">
      <alignment horizontal="center"/>
    </xf>
    <xf numFmtId="0" fontId="27" fillId="0" borderId="0" xfId="0" applyFont="1" applyAlignment="1">
      <alignment horizontal="center"/>
    </xf>
    <xf numFmtId="0" fontId="10" fillId="0" borderId="0" xfId="0" applyFont="1"/>
    <xf numFmtId="0" fontId="98" fillId="0" borderId="0" xfId="0" applyFont="1"/>
    <xf numFmtId="164" fontId="28" fillId="0" borderId="2" xfId="0" applyNumberFormat="1" applyFont="1" applyBorder="1" applyAlignment="1">
      <alignment horizontal="center" vertical="center" wrapText="1"/>
    </xf>
    <xf numFmtId="0" fontId="10" fillId="0" borderId="4" xfId="0" applyFont="1" applyBorder="1"/>
    <xf numFmtId="0" fontId="10" fillId="0" borderId="8" xfId="0" applyFont="1" applyBorder="1"/>
    <xf numFmtId="164" fontId="28" fillId="0" borderId="55" xfId="0" applyNumberFormat="1" applyFont="1" applyBorder="1" applyAlignment="1">
      <alignment horizontal="center" vertical="center" wrapText="1"/>
    </xf>
    <xf numFmtId="0" fontId="10" fillId="0" borderId="5" xfId="0" applyFont="1" applyBorder="1"/>
    <xf numFmtId="0" fontId="28" fillId="0" borderId="62" xfId="0" applyFont="1" applyBorder="1" applyAlignment="1">
      <alignment horizontal="center" vertical="center" wrapText="1"/>
    </xf>
    <xf numFmtId="0" fontId="10" fillId="0" borderId="59" xfId="0" applyFont="1" applyBorder="1" applyAlignment="1">
      <alignment horizontal="center" vertical="center"/>
    </xf>
    <xf numFmtId="0" fontId="10" fillId="0" borderId="59" xfId="0" applyFont="1" applyBorder="1"/>
    <xf numFmtId="164" fontId="28" fillId="0" borderId="66" xfId="0" applyNumberFormat="1" applyFont="1" applyBorder="1" applyAlignment="1">
      <alignment horizontal="center" vertical="center" wrapText="1"/>
    </xf>
    <xf numFmtId="0" fontId="10" fillId="0" borderId="67" xfId="0" applyFont="1" applyBorder="1"/>
    <xf numFmtId="0" fontId="10" fillId="0" borderId="68" xfId="0" applyFont="1" applyBorder="1"/>
    <xf numFmtId="0" fontId="28" fillId="0" borderId="58" xfId="0" applyFont="1" applyBorder="1" applyAlignment="1">
      <alignment horizontal="center" vertical="center" wrapText="1"/>
    </xf>
    <xf numFmtId="0" fontId="10" fillId="0" borderId="58" xfId="0" applyFont="1" applyBorder="1"/>
    <xf numFmtId="0" fontId="10" fillId="0" borderId="60" xfId="0" applyFont="1" applyBorder="1"/>
    <xf numFmtId="0" fontId="10" fillId="0" borderId="61" xfId="0" applyFont="1" applyBorder="1"/>
    <xf numFmtId="0" fontId="38" fillId="3" borderId="28" xfId="0" applyFont="1" applyFill="1" applyBorder="1" applyAlignment="1">
      <alignment horizontal="center" wrapText="1"/>
    </xf>
    <xf numFmtId="0" fontId="10" fillId="0" borderId="29" xfId="0" applyFont="1" applyBorder="1"/>
    <xf numFmtId="0" fontId="33" fillId="3" borderId="28" xfId="0" applyFont="1" applyFill="1" applyBorder="1" applyAlignment="1">
      <alignment horizontal="left" wrapText="1"/>
    </xf>
    <xf numFmtId="0" fontId="33" fillId="3" borderId="28" xfId="0" applyFont="1" applyFill="1" applyBorder="1" applyAlignment="1">
      <alignment horizontal="left" vertical="top" wrapText="1"/>
    </xf>
    <xf numFmtId="0" fontId="27" fillId="0" borderId="0" xfId="0" applyFont="1" applyAlignment="1">
      <alignment horizontal="center" vertical="center" wrapText="1"/>
    </xf>
    <xf numFmtId="4" fontId="27" fillId="0" borderId="0" xfId="0" applyNumberFormat="1" applyFont="1" applyAlignment="1">
      <alignment horizontal="center" vertical="center" wrapText="1"/>
    </xf>
    <xf numFmtId="0" fontId="0" fillId="0" borderId="0" xfId="0"/>
    <xf numFmtId="0" fontId="27" fillId="0" borderId="0" xfId="0" applyFont="1" applyAlignment="1">
      <alignment horizontal="center" wrapText="1"/>
    </xf>
    <xf numFmtId="4" fontId="27" fillId="0" borderId="0" xfId="0" applyNumberFormat="1" applyFont="1" applyAlignment="1">
      <alignment horizontal="center"/>
    </xf>
    <xf numFmtId="0" fontId="33" fillId="0" borderId="35" xfId="0" applyFont="1" applyBorder="1" applyAlignment="1">
      <alignment wrapText="1"/>
    </xf>
    <xf numFmtId="0" fontId="10" fillId="0" borderId="38" xfId="0" applyFont="1" applyBorder="1"/>
    <xf numFmtId="0" fontId="33" fillId="0" borderId="35" xfId="0" applyFont="1" applyBorder="1" applyAlignment="1">
      <alignment horizontal="left" wrapText="1"/>
    </xf>
    <xf numFmtId="0" fontId="56" fillId="3" borderId="28" xfId="0" applyFont="1" applyFill="1" applyBorder="1" applyAlignment="1">
      <alignment horizontal="left" wrapText="1"/>
    </xf>
    <xf numFmtId="0" fontId="38" fillId="3" borderId="28" xfId="0" applyFont="1" applyFill="1" applyBorder="1" applyAlignment="1">
      <alignment horizontal="left" wrapText="1"/>
    </xf>
    <xf numFmtId="0" fontId="38" fillId="14" borderId="35" xfId="0" applyFont="1" applyFill="1" applyBorder="1" applyAlignment="1">
      <alignment horizontal="left" wrapText="1"/>
    </xf>
    <xf numFmtId="0" fontId="10" fillId="14" borderId="29" xfId="0" applyFont="1" applyFill="1" applyBorder="1"/>
    <xf numFmtId="0" fontId="27" fillId="11" borderId="28" xfId="0" applyFont="1" applyFill="1" applyBorder="1" applyAlignment="1">
      <alignment horizontal="left" wrapText="1"/>
    </xf>
    <xf numFmtId="0" fontId="56" fillId="14" borderId="28" xfId="0" applyFont="1" applyFill="1" applyBorder="1" applyAlignment="1">
      <alignment horizontal="left" wrapText="1"/>
    </xf>
    <xf numFmtId="0" fontId="10" fillId="14" borderId="38" xfId="0" applyFont="1" applyFill="1" applyBorder="1"/>
    <xf numFmtId="0" fontId="33" fillId="14" borderId="35" xfId="0" applyFont="1" applyFill="1" applyBorder="1" applyAlignment="1">
      <alignment horizontal="left" wrapText="1"/>
    </xf>
    <xf numFmtId="0" fontId="6" fillId="3" borderId="28" xfId="0" applyFont="1" applyFill="1" applyBorder="1" applyAlignment="1">
      <alignment horizontal="left" wrapText="1"/>
    </xf>
    <xf numFmtId="0" fontId="10" fillId="3" borderId="28" xfId="0" applyFont="1" applyFill="1" applyBorder="1" applyAlignment="1">
      <alignment horizontal="left" wrapText="1"/>
    </xf>
    <xf numFmtId="0" fontId="10" fillId="0" borderId="28" xfId="0" applyFont="1" applyBorder="1" applyAlignment="1">
      <alignment horizontal="left" wrapText="1"/>
    </xf>
    <xf numFmtId="0" fontId="33" fillId="0" borderId="38" xfId="0" applyFont="1" applyBorder="1" applyAlignment="1">
      <alignment horizontal="left" wrapText="1"/>
    </xf>
    <xf numFmtId="0" fontId="6" fillId="0" borderId="35" xfId="0" applyFont="1" applyBorder="1" applyAlignment="1">
      <alignment horizontal="left" wrapText="1"/>
    </xf>
    <xf numFmtId="0" fontId="33" fillId="0" borderId="35" xfId="0" applyFont="1" applyBorder="1" applyAlignment="1">
      <alignment horizontal="center"/>
    </xf>
    <xf numFmtId="0" fontId="38" fillId="0" borderId="28" xfId="0" applyFont="1" applyBorder="1" applyAlignment="1">
      <alignment horizontal="left" wrapText="1"/>
    </xf>
    <xf numFmtId="0" fontId="38" fillId="0" borderId="29" xfId="0" applyFont="1" applyBorder="1" applyAlignment="1">
      <alignment horizontal="left"/>
    </xf>
    <xf numFmtId="0" fontId="38" fillId="0" borderId="38" xfId="0" applyFont="1" applyBorder="1" applyAlignment="1">
      <alignment horizontal="left"/>
    </xf>
    <xf numFmtId="2" fontId="10" fillId="3" borderId="28" xfId="0" applyNumberFormat="1" applyFont="1" applyFill="1" applyBorder="1" applyAlignment="1">
      <alignment horizontal="left" wrapText="1"/>
    </xf>
    <xf numFmtId="49" fontId="38" fillId="3" borderId="28" xfId="0" applyNumberFormat="1" applyFont="1" applyFill="1" applyBorder="1" applyAlignment="1">
      <alignment horizontal="left" wrapText="1"/>
    </xf>
    <xf numFmtId="49" fontId="33" fillId="3" borderId="28" xfId="0" applyNumberFormat="1" applyFont="1" applyFill="1" applyBorder="1" applyAlignment="1">
      <alignment horizontal="left" wrapText="1"/>
    </xf>
    <xf numFmtId="0" fontId="6" fillId="0" borderId="38" xfId="0" applyFont="1" applyBorder="1"/>
    <xf numFmtId="0" fontId="10" fillId="0" borderId="35" xfId="0" applyFont="1" applyBorder="1" applyAlignment="1">
      <alignment horizontal="left" wrapText="1"/>
    </xf>
    <xf numFmtId="0" fontId="6" fillId="0" borderId="29" xfId="0" applyFont="1" applyBorder="1"/>
    <xf numFmtId="0" fontId="10" fillId="10" borderId="35" xfId="0" applyFont="1" applyFill="1" applyBorder="1" applyAlignment="1">
      <alignment horizontal="left" vertical="top" wrapText="1"/>
    </xf>
    <xf numFmtId="0" fontId="6" fillId="10" borderId="35" xfId="0" applyFont="1" applyFill="1" applyBorder="1" applyAlignment="1">
      <alignment horizontal="left" vertical="top" wrapText="1"/>
    </xf>
    <xf numFmtId="49" fontId="9" fillId="0" borderId="28" xfId="0" applyNumberFormat="1" applyFont="1" applyBorder="1" applyAlignment="1">
      <alignment horizontal="left" vertical="top" wrapText="1"/>
    </xf>
    <xf numFmtId="0" fontId="9" fillId="10" borderId="28" xfId="0" applyFont="1" applyFill="1" applyBorder="1" applyAlignment="1">
      <alignment horizontal="left" vertical="top" wrapText="1"/>
    </xf>
    <xf numFmtId="0" fontId="6" fillId="0" borderId="35" xfId="0" applyFont="1" applyBorder="1" applyAlignment="1">
      <alignment horizontal="left" vertical="top" wrapText="1"/>
    </xf>
    <xf numFmtId="0" fontId="27" fillId="10" borderId="28" xfId="0" applyFont="1" applyFill="1" applyBorder="1" applyAlignment="1">
      <alignment horizontal="left" vertical="top" wrapText="1"/>
    </xf>
    <xf numFmtId="0" fontId="10" fillId="0" borderId="35" xfId="0" applyFont="1" applyBorder="1" applyAlignment="1">
      <alignment horizontal="left" vertical="top" wrapText="1"/>
    </xf>
    <xf numFmtId="0" fontId="9" fillId="7" borderId="28" xfId="0" applyFont="1" applyFill="1" applyBorder="1" applyAlignment="1">
      <alignment horizontal="left" vertical="top" wrapText="1"/>
    </xf>
    <xf numFmtId="0" fontId="27" fillId="7" borderId="28" xfId="0" applyFont="1" applyFill="1" applyBorder="1" applyAlignment="1">
      <alignment horizontal="left" vertical="top" wrapText="1"/>
    </xf>
    <xf numFmtId="0" fontId="43" fillId="0" borderId="35" xfId="0" applyFont="1" applyBorder="1" applyAlignment="1">
      <alignment horizontal="left" vertical="top" wrapText="1"/>
    </xf>
    <xf numFmtId="0" fontId="43" fillId="0" borderId="38" xfId="0" applyFont="1" applyBorder="1" applyAlignment="1">
      <alignment horizontal="left" vertical="top" wrapText="1"/>
    </xf>
    <xf numFmtId="0" fontId="6" fillId="7" borderId="35" xfId="0" applyFont="1" applyFill="1" applyBorder="1" applyAlignment="1">
      <alignment horizontal="left" vertical="top" wrapText="1"/>
    </xf>
    <xf numFmtId="0" fontId="10" fillId="7" borderId="35" xfId="0" applyFont="1" applyFill="1" applyBorder="1" applyAlignment="1">
      <alignment horizontal="left" vertical="top" wrapText="1"/>
    </xf>
    <xf numFmtId="0" fontId="38" fillId="0" borderId="35" xfId="0" applyFont="1" applyBorder="1" applyAlignment="1">
      <alignment horizontal="left" vertical="top" wrapText="1"/>
    </xf>
    <xf numFmtId="0" fontId="38" fillId="0" borderId="38" xfId="0" applyFont="1" applyBorder="1"/>
    <xf numFmtId="49" fontId="9" fillId="7" borderId="28" xfId="0" applyNumberFormat="1" applyFont="1" applyFill="1" applyBorder="1" applyAlignment="1">
      <alignment horizontal="left" vertical="top" wrapText="1"/>
    </xf>
    <xf numFmtId="49" fontId="27" fillId="7" borderId="28" xfId="0" applyNumberFormat="1" applyFont="1" applyFill="1" applyBorder="1" applyAlignment="1">
      <alignment horizontal="left" vertical="top" wrapText="1"/>
    </xf>
    <xf numFmtId="0" fontId="6" fillId="7" borderId="38" xfId="0" applyFont="1" applyFill="1" applyBorder="1" applyAlignment="1">
      <alignment horizontal="left" vertical="top" wrapText="1"/>
    </xf>
    <xf numFmtId="0" fontId="17" fillId="7" borderId="35" xfId="0" applyFont="1" applyFill="1" applyBorder="1" applyAlignment="1">
      <alignment horizontal="left" vertical="top" wrapText="1"/>
    </xf>
    <xf numFmtId="0" fontId="27" fillId="7" borderId="35" xfId="0" applyFont="1" applyFill="1" applyBorder="1" applyAlignment="1">
      <alignment horizontal="left" vertical="top" wrapText="1"/>
    </xf>
    <xf numFmtId="0" fontId="10" fillId="0" borderId="18" xfId="0" applyFont="1" applyBorder="1" applyAlignment="1">
      <alignment horizontal="center"/>
    </xf>
    <xf numFmtId="0" fontId="10" fillId="0" borderId="19" xfId="0" applyFont="1" applyBorder="1"/>
    <xf numFmtId="0" fontId="10" fillId="0" borderId="20" xfId="0" applyFont="1" applyBorder="1"/>
    <xf numFmtId="0" fontId="10" fillId="0" borderId="23" xfId="0" applyFont="1" applyBorder="1" applyAlignment="1">
      <alignment horizontal="center"/>
    </xf>
    <xf numFmtId="0" fontId="10" fillId="0" borderId="24" xfId="0" applyFont="1" applyBorder="1"/>
    <xf numFmtId="0" fontId="10" fillId="0" borderId="25" xfId="0" applyFont="1" applyBorder="1"/>
    <xf numFmtId="164" fontId="5" fillId="0" borderId="2" xfId="0" applyNumberFormat="1" applyFont="1" applyBorder="1" applyAlignment="1">
      <alignment horizontal="center" vertical="center" wrapText="1"/>
    </xf>
  </cellXfs>
  <cellStyles count="46">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9" builtinId="27" customBuiltin="1"/>
    <cellStyle name="Calculation" xfId="13" builtinId="22" customBuiltin="1"/>
    <cellStyle name="Check Cell" xfId="15" builtinId="23" customBuiltin="1"/>
    <cellStyle name="Explanatory Text" xfId="17"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11" builtinId="20" customBuiltin="1"/>
    <cellStyle name="Linked Cell" xfId="14" builtinId="24" customBuiltin="1"/>
    <cellStyle name="Neutral" xfId="10" builtinId="28" customBuiltin="1"/>
    <cellStyle name="Normal" xfId="0" builtinId="0"/>
    <cellStyle name="Normal 2" xfId="1" xr:uid="{00000000-0005-0000-0000-000031000000}"/>
    <cellStyle name="Normal 3" xfId="2" xr:uid="{00000000-0005-0000-0000-000032000000}"/>
    <cellStyle name="Normal 3 2" xfId="44" xr:uid="{3BB0E327-700F-48E9-9BB9-078559A404E1}"/>
    <cellStyle name="Normal 4" xfId="43" xr:uid="{4A3EECD9-C769-443F-BE59-1979CD67932E}"/>
    <cellStyle name="Note 2" xfId="45" xr:uid="{7159EBC2-8EE4-4996-8492-FBED43800B73}"/>
    <cellStyle name="Output" xfId="12" builtinId="21" customBuiltin="1"/>
    <cellStyle name="Title" xfId="3" builtinId="15" customBuiltin="1"/>
    <cellStyle name="Total" xfId="18" builtinId="25" customBuiltin="1"/>
    <cellStyle name="Warning Text" xfId="16"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Z124"/>
  <sheetViews>
    <sheetView workbookViewId="0">
      <pane xSplit="2" ySplit="17" topLeftCell="C18" activePane="bottomRight" state="frozen"/>
      <selection pane="topRight"/>
      <selection pane="bottomLeft"/>
      <selection pane="bottomRight" sqref="A1:XFD1048576"/>
    </sheetView>
  </sheetViews>
  <sheetFormatPr defaultColWidth="14.42578125" defaultRowHeight="15" customHeight="1"/>
  <cols>
    <col min="1" max="1" width="45.85546875" style="61" customWidth="1"/>
    <col min="2" max="2" width="6.42578125" style="61" customWidth="1"/>
    <col min="3" max="3" width="14.85546875" style="61" customWidth="1"/>
    <col min="4" max="4" width="14.7109375" style="61" customWidth="1"/>
    <col min="5" max="5" width="14.42578125" style="61" customWidth="1"/>
    <col min="6" max="6" width="14.5703125" style="61" customWidth="1"/>
    <col min="7" max="7" width="14.42578125" style="61" customWidth="1"/>
    <col min="8" max="8" width="14.7109375" style="61" customWidth="1"/>
    <col min="9" max="9" width="12.5703125" style="61" customWidth="1"/>
    <col min="10" max="10" width="11.85546875" style="61" customWidth="1"/>
    <col min="11" max="11" width="13.7109375" style="61" customWidth="1"/>
    <col min="12" max="22" width="9.140625" style="61" customWidth="1"/>
    <col min="23" max="26" width="8" style="61" customWidth="1"/>
    <col min="27" max="16384" width="14.42578125" style="61"/>
  </cols>
  <sheetData>
    <row r="1" spans="1:26" ht="12" customHeight="1">
      <c r="A1" s="786" t="s">
        <v>0</v>
      </c>
      <c r="K1" s="857" t="s">
        <v>1</v>
      </c>
      <c r="L1" s="858" t="s">
        <v>2</v>
      </c>
      <c r="M1" s="859"/>
      <c r="N1" s="859"/>
      <c r="O1" s="859"/>
      <c r="P1" s="859"/>
      <c r="Q1" s="859"/>
      <c r="R1" s="859"/>
      <c r="S1" s="859"/>
      <c r="T1" s="859"/>
      <c r="U1" s="859"/>
      <c r="V1" s="859"/>
      <c r="W1" s="859"/>
      <c r="X1" s="859"/>
      <c r="Y1" s="859"/>
      <c r="Z1" s="859"/>
    </row>
    <row r="2" spans="1:26" ht="12.75" customHeight="1">
      <c r="A2" s="61" t="s">
        <v>3</v>
      </c>
      <c r="B2" s="860"/>
      <c r="D2" s="860"/>
      <c r="E2" s="860"/>
      <c r="K2" s="861" t="str">
        <f>IF($L$1="proiect","la Proiectul de hotărâre","la Hotărârea Consiliului Judeţean")</f>
        <v>la Proiectul de hotărâre</v>
      </c>
      <c r="L2" s="859"/>
      <c r="M2" s="859"/>
      <c r="N2" s="859"/>
      <c r="O2" s="859"/>
      <c r="P2" s="858"/>
      <c r="Q2" s="859"/>
      <c r="R2" s="862"/>
      <c r="S2" s="859"/>
      <c r="T2" s="859"/>
      <c r="U2" s="859"/>
      <c r="V2" s="862"/>
      <c r="W2" s="859"/>
      <c r="X2" s="859"/>
      <c r="Y2" s="859"/>
      <c r="Z2" s="859"/>
    </row>
    <row r="3" spans="1:26" ht="12" customHeight="1">
      <c r="A3" s="863" t="s">
        <v>4</v>
      </c>
      <c r="B3" s="860"/>
      <c r="F3" s="864"/>
      <c r="K3" s="861" t="str">
        <f>IF($L$1="proiect","nr. _______/2025 ","Satu Mare nr. _____/2025")</f>
        <v xml:space="preserve">nr. _______/2025 </v>
      </c>
      <c r="L3" s="859"/>
      <c r="M3" s="859"/>
      <c r="N3" s="859"/>
      <c r="O3" s="859"/>
      <c r="P3" s="859"/>
      <c r="Q3" s="859"/>
      <c r="R3" s="859"/>
      <c r="S3" s="859"/>
      <c r="T3" s="859"/>
      <c r="U3" s="859"/>
      <c r="V3" s="859"/>
      <c r="W3" s="859"/>
      <c r="X3" s="859"/>
      <c r="Y3" s="859"/>
      <c r="Z3" s="859"/>
    </row>
    <row r="4" spans="1:26" ht="12" customHeight="1">
      <c r="A4" s="863"/>
      <c r="B4" s="860"/>
      <c r="F4" s="864"/>
      <c r="G4" s="864"/>
      <c r="K4" s="67"/>
      <c r="L4" s="859"/>
      <c r="M4" s="859"/>
      <c r="N4" s="859"/>
      <c r="O4" s="859"/>
      <c r="P4" s="859"/>
      <c r="Q4" s="859"/>
      <c r="R4" s="859"/>
      <c r="S4" s="859"/>
      <c r="T4" s="859"/>
      <c r="U4" s="859"/>
      <c r="V4" s="859"/>
      <c r="W4" s="859"/>
      <c r="X4" s="859"/>
      <c r="Y4" s="859"/>
      <c r="Z4" s="859"/>
    </row>
    <row r="5" spans="1:26" ht="12" customHeight="1">
      <c r="A5" s="929" t="s">
        <v>5</v>
      </c>
      <c r="B5" s="930"/>
      <c r="C5" s="930"/>
      <c r="D5" s="930"/>
      <c r="E5" s="930"/>
      <c r="F5" s="930"/>
      <c r="G5" s="930"/>
      <c r="H5" s="930"/>
      <c r="I5" s="930"/>
      <c r="J5" s="930"/>
      <c r="K5" s="930"/>
      <c r="L5" s="859"/>
      <c r="M5" s="859"/>
      <c r="N5" s="859"/>
      <c r="O5" s="859"/>
      <c r="P5" s="859"/>
      <c r="Q5" s="859"/>
      <c r="R5" s="859"/>
      <c r="S5" s="859"/>
      <c r="T5" s="859"/>
      <c r="U5" s="859"/>
      <c r="V5" s="859"/>
      <c r="W5" s="859"/>
      <c r="X5" s="859"/>
      <c r="Y5" s="859"/>
      <c r="Z5" s="859"/>
    </row>
    <row r="6" spans="1:26" ht="12" customHeight="1">
      <c r="A6" s="77"/>
      <c r="B6" s="77"/>
      <c r="C6" s="77"/>
      <c r="D6" s="77"/>
      <c r="E6" s="77" t="s">
        <v>998</v>
      </c>
      <c r="F6" s="77"/>
      <c r="G6" s="77"/>
      <c r="H6" s="77"/>
      <c r="I6" s="77"/>
      <c r="J6" s="77"/>
      <c r="K6" s="77"/>
      <c r="L6" s="859"/>
      <c r="M6" s="859"/>
      <c r="N6" s="859"/>
      <c r="O6" s="859"/>
      <c r="P6" s="859"/>
      <c r="Q6" s="859"/>
      <c r="R6" s="859"/>
      <c r="S6" s="859"/>
      <c r="T6" s="859"/>
      <c r="U6" s="859"/>
      <c r="V6" s="859"/>
      <c r="W6" s="859"/>
      <c r="X6" s="859"/>
      <c r="Y6" s="859"/>
      <c r="Z6" s="859"/>
    </row>
    <row r="7" spans="1:26" ht="12.75" customHeight="1">
      <c r="A7" s="786"/>
      <c r="C7" s="859"/>
      <c r="D7" s="859"/>
      <c r="E7" s="859"/>
      <c r="F7" s="859"/>
      <c r="G7" s="859"/>
      <c r="H7" s="859"/>
      <c r="I7" s="859"/>
      <c r="J7" s="859"/>
      <c r="K7" s="859" t="s">
        <v>6</v>
      </c>
      <c r="L7" s="859"/>
      <c r="M7" s="859"/>
      <c r="N7" s="859"/>
      <c r="O7" s="859"/>
      <c r="P7" s="859"/>
      <c r="Q7" s="859"/>
      <c r="R7" s="859"/>
      <c r="S7" s="859"/>
      <c r="T7" s="859"/>
      <c r="U7" s="859"/>
      <c r="V7" s="859"/>
      <c r="W7" s="859"/>
      <c r="X7" s="859"/>
      <c r="Y7" s="859"/>
      <c r="Z7" s="859"/>
    </row>
    <row r="8" spans="1:26" ht="12" customHeight="1">
      <c r="A8" s="865"/>
      <c r="B8" s="932" t="s">
        <v>7</v>
      </c>
      <c r="C8" s="935" t="s">
        <v>8</v>
      </c>
      <c r="D8" s="932" t="s">
        <v>9</v>
      </c>
      <c r="E8" s="935" t="s">
        <v>10</v>
      </c>
      <c r="F8" s="866"/>
      <c r="G8" s="867"/>
      <c r="H8" s="935" t="s">
        <v>11</v>
      </c>
      <c r="I8" s="932" t="s">
        <v>12</v>
      </c>
      <c r="J8" s="935" t="s">
        <v>13</v>
      </c>
      <c r="K8" s="940" t="s">
        <v>14</v>
      </c>
      <c r="L8" s="859"/>
      <c r="M8" s="859"/>
      <c r="N8" s="859"/>
      <c r="O8" s="859"/>
      <c r="P8" s="859"/>
      <c r="Q8" s="859"/>
      <c r="R8" s="859"/>
      <c r="S8" s="859"/>
      <c r="T8" s="859"/>
      <c r="U8" s="859"/>
      <c r="V8" s="859"/>
      <c r="W8" s="859"/>
      <c r="X8" s="859"/>
      <c r="Y8" s="859"/>
      <c r="Z8" s="859"/>
    </row>
    <row r="9" spans="1:26" ht="12" customHeight="1">
      <c r="A9" s="868"/>
      <c r="B9" s="933"/>
      <c r="C9" s="930"/>
      <c r="D9" s="933"/>
      <c r="E9" s="930"/>
      <c r="F9" s="943" t="s">
        <v>15</v>
      </c>
      <c r="G9" s="939"/>
      <c r="H9" s="930"/>
      <c r="I9" s="933"/>
      <c r="J9" s="930"/>
      <c r="K9" s="941"/>
      <c r="L9" s="859"/>
      <c r="M9" s="859"/>
      <c r="N9" s="859"/>
      <c r="O9" s="859"/>
      <c r="P9" s="859"/>
      <c r="Q9" s="859"/>
      <c r="R9" s="859"/>
      <c r="S9" s="859"/>
      <c r="T9" s="859"/>
      <c r="U9" s="859"/>
      <c r="V9" s="859"/>
      <c r="W9" s="859"/>
      <c r="X9" s="859"/>
      <c r="Y9" s="859"/>
      <c r="Z9" s="859"/>
    </row>
    <row r="10" spans="1:26" ht="12" customHeight="1">
      <c r="A10" s="868"/>
      <c r="B10" s="933"/>
      <c r="C10" s="930"/>
      <c r="D10" s="933"/>
      <c r="E10" s="930"/>
      <c r="F10" s="944"/>
      <c r="G10" s="939"/>
      <c r="H10" s="930"/>
      <c r="I10" s="933"/>
      <c r="J10" s="930"/>
      <c r="K10" s="941"/>
      <c r="L10" s="859"/>
      <c r="M10" s="859"/>
      <c r="N10" s="859"/>
      <c r="O10" s="859"/>
      <c r="P10" s="859"/>
      <c r="Q10" s="859"/>
      <c r="R10" s="859"/>
      <c r="S10" s="859"/>
      <c r="T10" s="859"/>
      <c r="U10" s="859"/>
      <c r="V10" s="859"/>
      <c r="W10" s="859"/>
      <c r="X10" s="859"/>
      <c r="Y10" s="859"/>
      <c r="Z10" s="859"/>
    </row>
    <row r="11" spans="1:26" ht="12" customHeight="1">
      <c r="A11" s="868"/>
      <c r="B11" s="933"/>
      <c r="C11" s="930"/>
      <c r="D11" s="933"/>
      <c r="E11" s="930"/>
      <c r="F11" s="945"/>
      <c r="G11" s="946"/>
      <c r="H11" s="930"/>
      <c r="I11" s="933"/>
      <c r="J11" s="930"/>
      <c r="K11" s="941"/>
      <c r="L11" s="859"/>
      <c r="M11" s="859"/>
      <c r="N11" s="859"/>
      <c r="O11" s="859"/>
      <c r="P11" s="859"/>
      <c r="Q11" s="859"/>
      <c r="R11" s="859"/>
      <c r="S11" s="859"/>
      <c r="T11" s="859"/>
      <c r="U11" s="859"/>
      <c r="V11" s="859"/>
      <c r="W11" s="859"/>
      <c r="X11" s="859"/>
      <c r="Y11" s="859"/>
      <c r="Z11" s="859"/>
    </row>
    <row r="12" spans="1:26" ht="12" customHeight="1">
      <c r="A12" s="868"/>
      <c r="B12" s="933"/>
      <c r="C12" s="930"/>
      <c r="D12" s="933"/>
      <c r="E12" s="930"/>
      <c r="F12" s="937" t="s">
        <v>16</v>
      </c>
      <c r="G12" s="938" t="s">
        <v>17</v>
      </c>
      <c r="H12" s="930"/>
      <c r="I12" s="933"/>
      <c r="J12" s="930"/>
      <c r="K12" s="941"/>
      <c r="L12" s="859"/>
      <c r="M12" s="859"/>
      <c r="N12" s="859"/>
      <c r="O12" s="859"/>
      <c r="P12" s="859"/>
      <c r="Q12" s="859"/>
      <c r="R12" s="859"/>
      <c r="S12" s="859"/>
      <c r="T12" s="859"/>
      <c r="U12" s="859"/>
      <c r="V12" s="859"/>
      <c r="W12" s="859"/>
      <c r="X12" s="859"/>
      <c r="Y12" s="859"/>
      <c r="Z12" s="859"/>
    </row>
    <row r="13" spans="1:26" ht="12" customHeight="1">
      <c r="A13" s="868"/>
      <c r="B13" s="933"/>
      <c r="C13" s="930"/>
      <c r="D13" s="933"/>
      <c r="E13" s="930"/>
      <c r="F13" s="933"/>
      <c r="G13" s="939"/>
      <c r="H13" s="930"/>
      <c r="I13" s="933"/>
      <c r="J13" s="930"/>
      <c r="K13" s="941"/>
      <c r="L13" s="859"/>
      <c r="M13" s="859"/>
      <c r="N13" s="859"/>
      <c r="O13" s="859"/>
      <c r="P13" s="859"/>
      <c r="Q13" s="859"/>
      <c r="R13" s="859"/>
      <c r="S13" s="859"/>
      <c r="T13" s="859"/>
      <c r="U13" s="859"/>
      <c r="V13" s="859"/>
      <c r="W13" s="859"/>
      <c r="X13" s="859"/>
      <c r="Y13" s="859"/>
      <c r="Z13" s="859"/>
    </row>
    <row r="14" spans="1:26" ht="12" customHeight="1">
      <c r="A14" s="868"/>
      <c r="B14" s="933"/>
      <c r="C14" s="930"/>
      <c r="D14" s="933"/>
      <c r="E14" s="930"/>
      <c r="F14" s="933"/>
      <c r="G14" s="939"/>
      <c r="H14" s="930"/>
      <c r="I14" s="933"/>
      <c r="J14" s="930"/>
      <c r="K14" s="941"/>
      <c r="L14" s="859"/>
      <c r="M14" s="859"/>
      <c r="N14" s="859"/>
      <c r="O14" s="859"/>
      <c r="P14" s="859"/>
      <c r="Q14" s="859"/>
      <c r="R14" s="859"/>
      <c r="S14" s="859"/>
      <c r="T14" s="859"/>
      <c r="U14" s="859"/>
      <c r="V14" s="859"/>
      <c r="W14" s="859"/>
      <c r="X14" s="859"/>
      <c r="Y14" s="859"/>
      <c r="Z14" s="859"/>
    </row>
    <row r="15" spans="1:26" ht="12" customHeight="1">
      <c r="A15" s="868"/>
      <c r="B15" s="933"/>
      <c r="C15" s="930"/>
      <c r="D15" s="933"/>
      <c r="E15" s="930"/>
      <c r="F15" s="933"/>
      <c r="G15" s="939"/>
      <c r="H15" s="930"/>
      <c r="I15" s="933"/>
      <c r="J15" s="930"/>
      <c r="K15" s="941"/>
      <c r="L15" s="859"/>
      <c r="M15" s="859"/>
      <c r="N15" s="859"/>
      <c r="O15" s="859"/>
      <c r="P15" s="859"/>
      <c r="Q15" s="859"/>
      <c r="R15" s="859"/>
      <c r="S15" s="859"/>
      <c r="T15" s="859"/>
      <c r="U15" s="859"/>
      <c r="V15" s="859"/>
      <c r="W15" s="859"/>
      <c r="X15" s="859"/>
      <c r="Y15" s="859"/>
      <c r="Z15" s="859"/>
    </row>
    <row r="16" spans="1:26" ht="12.75" customHeight="1">
      <c r="A16" s="869"/>
      <c r="B16" s="934"/>
      <c r="C16" s="936"/>
      <c r="D16" s="934"/>
      <c r="E16" s="936"/>
      <c r="F16" s="870"/>
      <c r="G16" s="871"/>
      <c r="H16" s="936"/>
      <c r="I16" s="934"/>
      <c r="J16" s="936"/>
      <c r="K16" s="942"/>
      <c r="L16" s="859"/>
      <c r="M16" s="859"/>
      <c r="N16" s="859"/>
      <c r="O16" s="859"/>
      <c r="P16" s="859"/>
      <c r="Q16" s="859"/>
      <c r="R16" s="859"/>
      <c r="S16" s="859"/>
      <c r="T16" s="859"/>
      <c r="U16" s="859"/>
      <c r="V16" s="859"/>
      <c r="W16" s="859"/>
      <c r="X16" s="859"/>
      <c r="Y16" s="859"/>
      <c r="Z16" s="859"/>
    </row>
    <row r="17" spans="1:26" ht="12.75" customHeight="1">
      <c r="A17" s="872" t="s">
        <v>18</v>
      </c>
      <c r="B17" s="873" t="s">
        <v>19</v>
      </c>
      <c r="C17" s="874">
        <v>1</v>
      </c>
      <c r="D17" s="875">
        <v>2</v>
      </c>
      <c r="E17" s="874">
        <v>3</v>
      </c>
      <c r="F17" s="876">
        <v>4</v>
      </c>
      <c r="G17" s="875">
        <v>5</v>
      </c>
      <c r="H17" s="874">
        <v>6</v>
      </c>
      <c r="I17" s="877" t="s">
        <v>20</v>
      </c>
      <c r="J17" s="874">
        <v>8</v>
      </c>
      <c r="K17" s="878" t="s">
        <v>21</v>
      </c>
      <c r="L17" s="859"/>
      <c r="M17" s="859"/>
      <c r="N17" s="859"/>
      <c r="O17" s="859"/>
      <c r="P17" s="859"/>
      <c r="Q17" s="859"/>
      <c r="R17" s="859"/>
      <c r="S17" s="859"/>
      <c r="T17" s="859"/>
      <c r="U17" s="859"/>
      <c r="V17" s="859"/>
      <c r="W17" s="859"/>
      <c r="X17" s="859"/>
      <c r="Y17" s="859"/>
      <c r="Z17" s="859"/>
    </row>
    <row r="18" spans="1:26" ht="12.75" customHeight="1">
      <c r="A18" s="879"/>
      <c r="B18" s="880"/>
      <c r="C18" s="881"/>
      <c r="D18" s="882"/>
      <c r="E18" s="883"/>
      <c r="F18" s="884"/>
      <c r="G18" s="882"/>
      <c r="H18" s="881"/>
      <c r="I18" s="882"/>
      <c r="J18" s="885"/>
      <c r="K18" s="886"/>
      <c r="L18" s="859"/>
      <c r="M18" s="859"/>
      <c r="N18" s="859"/>
      <c r="O18" s="859"/>
      <c r="P18" s="859"/>
      <c r="Q18" s="859"/>
      <c r="R18" s="859"/>
      <c r="S18" s="859"/>
      <c r="T18" s="859"/>
      <c r="U18" s="859"/>
      <c r="V18" s="859"/>
      <c r="W18" s="859"/>
      <c r="X18" s="859"/>
      <c r="Y18" s="859"/>
      <c r="Z18" s="859"/>
    </row>
    <row r="19" spans="1:26" ht="36.75" customHeight="1">
      <c r="A19" s="887" t="s">
        <v>999</v>
      </c>
      <c r="B19" s="888" t="s">
        <v>23</v>
      </c>
      <c r="C19" s="889">
        <f t="shared" ref="C19:K19" si="0">SUM(C20,C36,C37,C38,C41)</f>
        <v>451930.92</v>
      </c>
      <c r="D19" s="890">
        <f t="shared" si="0"/>
        <v>24998</v>
      </c>
      <c r="E19" s="889">
        <f t="shared" si="0"/>
        <v>694467.87000000011</v>
      </c>
      <c r="F19" s="891">
        <f t="shared" si="0"/>
        <v>0</v>
      </c>
      <c r="G19" s="890">
        <f t="shared" si="0"/>
        <v>0</v>
      </c>
      <c r="H19" s="889">
        <f t="shared" si="0"/>
        <v>0</v>
      </c>
      <c r="I19" s="890">
        <f t="shared" si="0"/>
        <v>1171396.79</v>
      </c>
      <c r="J19" s="889">
        <f t="shared" si="0"/>
        <v>65384.1</v>
      </c>
      <c r="K19" s="892">
        <f t="shared" si="0"/>
        <v>1106012.69</v>
      </c>
      <c r="L19" s="893"/>
      <c r="M19" s="894"/>
      <c r="N19" s="893"/>
      <c r="O19" s="893"/>
      <c r="P19" s="893"/>
      <c r="Q19" s="893"/>
      <c r="R19" s="893"/>
      <c r="S19" s="893"/>
      <c r="T19" s="893"/>
      <c r="U19" s="893"/>
      <c r="V19" s="893"/>
      <c r="W19" s="893"/>
      <c r="X19" s="893"/>
      <c r="Y19" s="893"/>
      <c r="Z19" s="893"/>
    </row>
    <row r="20" spans="1:26" ht="18" customHeight="1">
      <c r="A20" s="895" t="s">
        <v>1000</v>
      </c>
      <c r="B20" s="896" t="s">
        <v>25</v>
      </c>
      <c r="C20" s="797">
        <f t="shared" ref="C20:K20" si="1">SUM(C21,C35)</f>
        <v>218814.7</v>
      </c>
      <c r="D20" s="797">
        <f t="shared" si="1"/>
        <v>2528</v>
      </c>
      <c r="E20" s="797">
        <f t="shared" si="1"/>
        <v>391564.84</v>
      </c>
      <c r="F20" s="797">
        <f t="shared" si="1"/>
        <v>0</v>
      </c>
      <c r="G20" s="797">
        <f t="shared" si="1"/>
        <v>0</v>
      </c>
      <c r="H20" s="797">
        <f t="shared" si="1"/>
        <v>0</v>
      </c>
      <c r="I20" s="797">
        <f t="shared" si="1"/>
        <v>612907.54</v>
      </c>
      <c r="J20" s="797">
        <f t="shared" si="1"/>
        <v>65384.1</v>
      </c>
      <c r="K20" s="897">
        <f t="shared" si="1"/>
        <v>547523.43999999994</v>
      </c>
      <c r="L20" s="859"/>
      <c r="M20" s="859"/>
      <c r="N20" s="859"/>
      <c r="O20" s="859"/>
      <c r="P20" s="859"/>
      <c r="Q20" s="859"/>
      <c r="R20" s="859"/>
      <c r="S20" s="859"/>
      <c r="T20" s="859"/>
      <c r="U20" s="859"/>
      <c r="V20" s="859"/>
      <c r="W20" s="859"/>
      <c r="X20" s="859"/>
      <c r="Y20" s="859"/>
      <c r="Z20" s="859"/>
    </row>
    <row r="21" spans="1:26" ht="18" customHeight="1">
      <c r="A21" s="895" t="s">
        <v>1001</v>
      </c>
      <c r="B21" s="896" t="s">
        <v>27</v>
      </c>
      <c r="C21" s="797">
        <f>SUM(C22,C24,C27,C28,C29,C34)</f>
        <v>214518.1</v>
      </c>
      <c r="D21" s="797">
        <f t="shared" ref="D21:K21" si="2">SUM(D22,D24,D27,D28,D29,D34)</f>
        <v>0</v>
      </c>
      <c r="E21" s="797">
        <f t="shared" si="2"/>
        <v>0</v>
      </c>
      <c r="F21" s="797">
        <f t="shared" si="2"/>
        <v>0</v>
      </c>
      <c r="G21" s="797">
        <f t="shared" si="2"/>
        <v>0</v>
      </c>
      <c r="H21" s="797">
        <f t="shared" si="2"/>
        <v>0</v>
      </c>
      <c r="I21" s="797">
        <f t="shared" si="2"/>
        <v>214518.1</v>
      </c>
      <c r="J21" s="797">
        <f>SUM(J22,J24,J27,J28,J29,J34)</f>
        <v>65384.1</v>
      </c>
      <c r="K21" s="897">
        <f t="shared" si="2"/>
        <v>149134</v>
      </c>
      <c r="L21" s="859"/>
      <c r="M21" s="859"/>
      <c r="N21" s="859"/>
      <c r="O21" s="859"/>
      <c r="P21" s="859"/>
      <c r="Q21" s="859"/>
      <c r="R21" s="859"/>
      <c r="S21" s="859"/>
      <c r="T21" s="859"/>
      <c r="U21" s="859"/>
      <c r="V21" s="859"/>
      <c r="W21" s="859"/>
      <c r="X21" s="859"/>
      <c r="Y21" s="859"/>
      <c r="Z21" s="859"/>
    </row>
    <row r="22" spans="1:26" ht="26.25" customHeight="1">
      <c r="A22" s="898" t="s">
        <v>28</v>
      </c>
      <c r="B22" s="896" t="s">
        <v>29</v>
      </c>
      <c r="C22" s="797">
        <f>'buget 2025'!G15</f>
        <v>0</v>
      </c>
      <c r="D22" s="797">
        <f>SUM(Sheet2!D17:E17)</f>
        <v>0</v>
      </c>
      <c r="E22" s="797">
        <f>SUM(Sheet2!J17:N17)</f>
        <v>0</v>
      </c>
      <c r="F22" s="797"/>
      <c r="G22" s="797"/>
      <c r="H22" s="797"/>
      <c r="I22" s="797">
        <f>SUM(C22,D22,E22,F22,G22,H22)</f>
        <v>0</v>
      </c>
      <c r="J22" s="797"/>
      <c r="K22" s="897">
        <f>I22-J22</f>
        <v>0</v>
      </c>
      <c r="L22" s="859"/>
      <c r="M22" s="859"/>
      <c r="N22" s="859"/>
      <c r="O22" s="859"/>
      <c r="P22" s="859"/>
      <c r="Q22" s="859"/>
      <c r="R22" s="859"/>
      <c r="S22" s="859"/>
      <c r="T22" s="859"/>
      <c r="U22" s="859"/>
      <c r="V22" s="859"/>
      <c r="W22" s="859"/>
      <c r="X22" s="859"/>
      <c r="Y22" s="859"/>
      <c r="Z22" s="859"/>
    </row>
    <row r="23" spans="1:26" ht="18" customHeight="1">
      <c r="A23" s="899" t="s">
        <v>30</v>
      </c>
      <c r="B23" s="896" t="s">
        <v>31</v>
      </c>
      <c r="C23" s="797">
        <f>'buget 2025'!G16</f>
        <v>0</v>
      </c>
      <c r="D23" s="797">
        <f>SUM(Sheet2!D18:E18)</f>
        <v>0</v>
      </c>
      <c r="E23" s="797">
        <f>SUM(Sheet2!J18:N18)</f>
        <v>0</v>
      </c>
      <c r="F23" s="797"/>
      <c r="G23" s="797"/>
      <c r="H23" s="797"/>
      <c r="I23" s="797">
        <f>SUM(C23,D23,E23,F23,G23,H23)</f>
        <v>0</v>
      </c>
      <c r="J23" s="797"/>
      <c r="K23" s="897">
        <f>I23-J23</f>
        <v>0</v>
      </c>
      <c r="L23" s="859"/>
      <c r="M23" s="859"/>
      <c r="N23" s="859"/>
      <c r="O23" s="859"/>
      <c r="P23" s="859"/>
      <c r="Q23" s="859"/>
      <c r="R23" s="859"/>
      <c r="S23" s="859"/>
      <c r="T23" s="859"/>
      <c r="U23" s="859"/>
      <c r="V23" s="859"/>
      <c r="W23" s="859"/>
      <c r="X23" s="859"/>
      <c r="Y23" s="859"/>
      <c r="Z23" s="859"/>
    </row>
    <row r="24" spans="1:26" ht="24" customHeight="1">
      <c r="A24" s="898" t="s">
        <v>32</v>
      </c>
      <c r="B24" s="896" t="s">
        <v>33</v>
      </c>
      <c r="C24" s="797">
        <f t="shared" ref="C24:K24" si="3">SUM(C25,C26)</f>
        <v>111542</v>
      </c>
      <c r="D24" s="797">
        <f t="shared" si="3"/>
        <v>0</v>
      </c>
      <c r="E24" s="797">
        <f t="shared" si="3"/>
        <v>0</v>
      </c>
      <c r="F24" s="797">
        <f t="shared" si="3"/>
        <v>0</v>
      </c>
      <c r="G24" s="797">
        <f t="shared" si="3"/>
        <v>0</v>
      </c>
      <c r="H24" s="797">
        <f t="shared" si="3"/>
        <v>0</v>
      </c>
      <c r="I24" s="797">
        <f t="shared" si="3"/>
        <v>111542</v>
      </c>
      <c r="J24" s="797">
        <f t="shared" si="3"/>
        <v>0</v>
      </c>
      <c r="K24" s="897">
        <f t="shared" si="3"/>
        <v>111542</v>
      </c>
      <c r="L24" s="859"/>
      <c r="M24" s="859"/>
      <c r="N24" s="859"/>
      <c r="O24" s="859"/>
      <c r="P24" s="859"/>
      <c r="Q24" s="859"/>
      <c r="R24" s="859"/>
      <c r="S24" s="859"/>
      <c r="T24" s="859"/>
      <c r="U24" s="859"/>
      <c r="V24" s="859"/>
      <c r="W24" s="859"/>
      <c r="X24" s="859"/>
      <c r="Y24" s="859"/>
      <c r="Z24" s="859"/>
    </row>
    <row r="25" spans="1:26" ht="23.25" customHeight="1">
      <c r="A25" s="898" t="s">
        <v>34</v>
      </c>
      <c r="B25" s="896" t="s">
        <v>35</v>
      </c>
      <c r="C25" s="900">
        <f>'buget 2025'!G19</f>
        <v>0</v>
      </c>
      <c r="D25" s="797">
        <f>SUM(Sheet2!D20:E20)</f>
        <v>0</v>
      </c>
      <c r="E25" s="797">
        <f>SUM(Sheet2!J20:N20)</f>
        <v>0</v>
      </c>
      <c r="F25" s="797"/>
      <c r="G25" s="797"/>
      <c r="H25" s="797"/>
      <c r="I25" s="797">
        <f>SUM(C25,D25,E25,F25,G25,H25)</f>
        <v>0</v>
      </c>
      <c r="J25" s="797"/>
      <c r="K25" s="897">
        <f>I25-J25</f>
        <v>0</v>
      </c>
      <c r="L25" s="859"/>
      <c r="M25" s="859"/>
      <c r="N25" s="859"/>
      <c r="O25" s="859"/>
      <c r="P25" s="859"/>
      <c r="Q25" s="859"/>
      <c r="R25" s="859"/>
      <c r="S25" s="859"/>
      <c r="T25" s="859"/>
      <c r="U25" s="859"/>
      <c r="V25" s="859"/>
      <c r="W25" s="859"/>
      <c r="X25" s="859"/>
      <c r="Y25" s="859"/>
      <c r="Z25" s="859"/>
    </row>
    <row r="26" spans="1:26" ht="18" customHeight="1">
      <c r="A26" s="898" t="s">
        <v>36</v>
      </c>
      <c r="B26" s="896" t="s">
        <v>37</v>
      </c>
      <c r="C26" s="797">
        <f>SUM('buget 2025'!G22)</f>
        <v>111542</v>
      </c>
      <c r="D26" s="797">
        <f>SUM(Sheet2!D21:E21)</f>
        <v>0</v>
      </c>
      <c r="E26" s="797">
        <f>SUM(Sheet2!J21:N21)</f>
        <v>0</v>
      </c>
      <c r="F26" s="797"/>
      <c r="G26" s="797"/>
      <c r="H26" s="797"/>
      <c r="I26" s="797">
        <f>SUM(C26,D26,E26,F26,G26,H26)</f>
        <v>111542</v>
      </c>
      <c r="J26" s="797"/>
      <c r="K26" s="897">
        <f>I26-J26</f>
        <v>111542</v>
      </c>
      <c r="L26" s="859"/>
      <c r="M26" s="859"/>
      <c r="N26" s="859"/>
      <c r="O26" s="859"/>
      <c r="P26" s="859"/>
      <c r="Q26" s="859"/>
      <c r="R26" s="859"/>
      <c r="S26" s="859"/>
      <c r="T26" s="859"/>
      <c r="U26" s="859"/>
      <c r="V26" s="859"/>
      <c r="W26" s="859"/>
      <c r="X26" s="859"/>
      <c r="Y26" s="859"/>
      <c r="Z26" s="859"/>
    </row>
    <row r="27" spans="1:26" ht="18" customHeight="1">
      <c r="A27" s="898" t="s">
        <v>38</v>
      </c>
      <c r="B27" s="896" t="s">
        <v>39</v>
      </c>
      <c r="C27" s="797">
        <f>'buget 2025'!G26</f>
        <v>0</v>
      </c>
      <c r="D27" s="797">
        <f>SUM(Sheet2!D22:E22)</f>
        <v>0</v>
      </c>
      <c r="E27" s="797">
        <f>SUM(Sheet2!J22:N22)</f>
        <v>0</v>
      </c>
      <c r="F27" s="797"/>
      <c r="G27" s="797"/>
      <c r="H27" s="797"/>
      <c r="I27" s="797">
        <f>SUM(C27,D27,E27,F27,G27,H27)</f>
        <v>0</v>
      </c>
      <c r="J27" s="797"/>
      <c r="K27" s="897">
        <f>I27-J27</f>
        <v>0</v>
      </c>
      <c r="L27" s="859"/>
      <c r="M27" s="859"/>
      <c r="N27" s="859"/>
      <c r="O27" s="859"/>
      <c r="P27" s="859"/>
      <c r="Q27" s="859"/>
      <c r="R27" s="859"/>
      <c r="S27" s="859"/>
      <c r="T27" s="859"/>
      <c r="U27" s="859"/>
      <c r="V27" s="859"/>
      <c r="W27" s="859"/>
      <c r="X27" s="859"/>
      <c r="Y27" s="859"/>
      <c r="Z27" s="859"/>
    </row>
    <row r="28" spans="1:26" ht="18" customHeight="1">
      <c r="A28" s="895" t="s">
        <v>40</v>
      </c>
      <c r="B28" s="896" t="s">
        <v>41</v>
      </c>
      <c r="C28" s="797">
        <f>'buget 2025'!G31</f>
        <v>0</v>
      </c>
      <c r="D28" s="797">
        <f>SUM(Sheet2!D23:E23)</f>
        <v>0</v>
      </c>
      <c r="E28" s="797">
        <f>SUM(Sheet2!J23:N23)</f>
        <v>0</v>
      </c>
      <c r="F28" s="797"/>
      <c r="G28" s="797"/>
      <c r="H28" s="797"/>
      <c r="I28" s="797">
        <f>SUM(C28,D28,E28,F28,G28,H28)</f>
        <v>0</v>
      </c>
      <c r="J28" s="797"/>
      <c r="K28" s="897">
        <f>I28-J28</f>
        <v>0</v>
      </c>
      <c r="L28" s="859"/>
      <c r="M28" s="859"/>
      <c r="N28" s="859"/>
      <c r="O28" s="859"/>
      <c r="P28" s="859"/>
      <c r="Q28" s="859"/>
      <c r="R28" s="859"/>
      <c r="S28" s="859"/>
      <c r="T28" s="859"/>
      <c r="U28" s="859"/>
      <c r="V28" s="859"/>
      <c r="W28" s="859"/>
      <c r="X28" s="859"/>
      <c r="Y28" s="859"/>
      <c r="Z28" s="859"/>
    </row>
    <row r="29" spans="1:26" ht="18" customHeight="1">
      <c r="A29" s="895" t="s">
        <v>1002</v>
      </c>
      <c r="B29" s="896" t="s">
        <v>43</v>
      </c>
      <c r="C29" s="797">
        <f t="shared" ref="C29:K29" si="4">SUM(C30,C31,C32,C33)</f>
        <v>102976.1</v>
      </c>
      <c r="D29" s="797">
        <f t="shared" si="4"/>
        <v>0</v>
      </c>
      <c r="E29" s="797">
        <f t="shared" si="4"/>
        <v>0</v>
      </c>
      <c r="F29" s="797">
        <f t="shared" si="4"/>
        <v>0</v>
      </c>
      <c r="G29" s="797">
        <f t="shared" si="4"/>
        <v>0</v>
      </c>
      <c r="H29" s="797">
        <f t="shared" si="4"/>
        <v>0</v>
      </c>
      <c r="I29" s="797">
        <f t="shared" si="4"/>
        <v>102976.1</v>
      </c>
      <c r="J29" s="797">
        <f t="shared" si="4"/>
        <v>65384.1</v>
      </c>
      <c r="K29" s="897">
        <f t="shared" si="4"/>
        <v>37592</v>
      </c>
      <c r="L29" s="859"/>
      <c r="M29" s="859"/>
      <c r="N29" s="859"/>
      <c r="O29" s="859"/>
      <c r="P29" s="859"/>
      <c r="Q29" s="859"/>
      <c r="R29" s="859"/>
      <c r="S29" s="859"/>
      <c r="T29" s="859"/>
      <c r="U29" s="859"/>
      <c r="V29" s="859"/>
      <c r="W29" s="859"/>
      <c r="X29" s="859"/>
      <c r="Y29" s="859"/>
      <c r="Z29" s="859"/>
    </row>
    <row r="30" spans="1:26" ht="18" customHeight="1">
      <c r="A30" s="899" t="s">
        <v>44</v>
      </c>
      <c r="B30" s="896" t="s">
        <v>45</v>
      </c>
      <c r="C30" s="797">
        <f>SUM('buget 2025'!G43)</f>
        <v>101379</v>
      </c>
      <c r="D30" s="797">
        <f>SUM(Sheet2!D25:E25)</f>
        <v>0</v>
      </c>
      <c r="E30" s="797">
        <f>SUM(Sheet2!J25:N25)</f>
        <v>0</v>
      </c>
      <c r="F30" s="797"/>
      <c r="G30" s="797"/>
      <c r="H30" s="797"/>
      <c r="I30" s="797">
        <f t="shared" ref="I30:I37" si="5">SUM(C30,D30,E30,F30,G30,H30)</f>
        <v>101379</v>
      </c>
      <c r="J30" s="797">
        <f>'buget 2025'!G725+'buget 2025'!G733+65045.1</f>
        <v>65384.1</v>
      </c>
      <c r="K30" s="897">
        <f t="shared" ref="K30:K37" si="6">I30-J30</f>
        <v>35994.9</v>
      </c>
      <c r="L30" s="859"/>
      <c r="M30" s="859"/>
      <c r="N30" s="859"/>
      <c r="O30" s="859"/>
      <c r="P30" s="859"/>
      <c r="Q30" s="859"/>
      <c r="R30" s="859"/>
      <c r="S30" s="859"/>
      <c r="T30" s="859"/>
      <c r="U30" s="859"/>
      <c r="V30" s="859"/>
      <c r="W30" s="859"/>
      <c r="X30" s="859"/>
      <c r="Y30" s="859"/>
      <c r="Z30" s="859"/>
    </row>
    <row r="31" spans="1:26" ht="24.75" customHeight="1">
      <c r="A31" s="898" t="s">
        <v>46</v>
      </c>
      <c r="B31" s="896" t="s">
        <v>47</v>
      </c>
      <c r="C31" s="797">
        <f>'buget 2025'!G67</f>
        <v>0</v>
      </c>
      <c r="D31" s="797">
        <f>SUM(Sheet2!D26:E26)</f>
        <v>0</v>
      </c>
      <c r="E31" s="797">
        <f>SUM(Sheet2!J26:N26)</f>
        <v>0</v>
      </c>
      <c r="F31" s="797"/>
      <c r="G31" s="797"/>
      <c r="H31" s="797"/>
      <c r="I31" s="797">
        <f t="shared" si="5"/>
        <v>0</v>
      </c>
      <c r="J31" s="797"/>
      <c r="K31" s="897">
        <f t="shared" si="6"/>
        <v>0</v>
      </c>
      <c r="L31" s="859"/>
      <c r="M31" s="859"/>
      <c r="N31" s="859"/>
      <c r="O31" s="859"/>
      <c r="P31" s="859"/>
      <c r="Q31" s="859"/>
      <c r="R31" s="859"/>
      <c r="S31" s="859"/>
      <c r="T31" s="859"/>
      <c r="U31" s="859"/>
      <c r="V31" s="859"/>
      <c r="W31" s="859"/>
      <c r="X31" s="859"/>
      <c r="Y31" s="859"/>
      <c r="Z31" s="859"/>
    </row>
    <row r="32" spans="1:26" ht="18" customHeight="1">
      <c r="A32" s="899" t="s">
        <v>48</v>
      </c>
      <c r="B32" s="896" t="s">
        <v>49</v>
      </c>
      <c r="C32" s="797">
        <f>'buget 2025'!G69</f>
        <v>0</v>
      </c>
      <c r="D32" s="797">
        <f>SUM(Sheet2!D27:E27)</f>
        <v>0</v>
      </c>
      <c r="E32" s="797">
        <f>SUM(Sheet2!J27:N27)</f>
        <v>0</v>
      </c>
      <c r="F32" s="797"/>
      <c r="G32" s="797"/>
      <c r="H32" s="797"/>
      <c r="I32" s="797">
        <f t="shared" si="5"/>
        <v>0</v>
      </c>
      <c r="J32" s="797"/>
      <c r="K32" s="897">
        <f t="shared" si="6"/>
        <v>0</v>
      </c>
      <c r="L32" s="859"/>
      <c r="M32" s="859"/>
      <c r="N32" s="859"/>
      <c r="O32" s="859"/>
      <c r="P32" s="859"/>
      <c r="Q32" s="859"/>
      <c r="R32" s="859"/>
      <c r="S32" s="859"/>
      <c r="T32" s="859"/>
      <c r="U32" s="859"/>
      <c r="V32" s="859"/>
      <c r="W32" s="859"/>
      <c r="X32" s="859"/>
      <c r="Y32" s="859"/>
      <c r="Z32" s="859"/>
    </row>
    <row r="33" spans="1:11" ht="41.25" customHeight="1">
      <c r="A33" s="898" t="s">
        <v>50</v>
      </c>
      <c r="B33" s="896" t="s">
        <v>51</v>
      </c>
      <c r="C33" s="797">
        <f>SUM('buget 2025'!G72)</f>
        <v>1597.1000000000001</v>
      </c>
      <c r="D33" s="797">
        <f>SUM(Sheet2!D28:E28)</f>
        <v>0</v>
      </c>
      <c r="E33" s="797">
        <f>SUM(Sheet2!J28:N28)</f>
        <v>0</v>
      </c>
      <c r="F33" s="797"/>
      <c r="G33" s="797"/>
      <c r="H33" s="797"/>
      <c r="I33" s="797">
        <f t="shared" si="5"/>
        <v>1597.1000000000001</v>
      </c>
      <c r="J33" s="797"/>
      <c r="K33" s="897">
        <f t="shared" si="6"/>
        <v>1597.1000000000001</v>
      </c>
    </row>
    <row r="34" spans="1:11" ht="18" customHeight="1">
      <c r="A34" s="895" t="s">
        <v>52</v>
      </c>
      <c r="B34" s="896" t="s">
        <v>53</v>
      </c>
      <c r="C34" s="797">
        <f>'buget 2025'!G78</f>
        <v>0</v>
      </c>
      <c r="D34" s="797">
        <f>SUM(Sheet2!D29:E29)</f>
        <v>0</v>
      </c>
      <c r="E34" s="797">
        <f>SUM(Sheet2!J29:N29)</f>
        <v>0</v>
      </c>
      <c r="F34" s="797"/>
      <c r="G34" s="797"/>
      <c r="H34" s="797"/>
      <c r="I34" s="797">
        <f t="shared" si="5"/>
        <v>0</v>
      </c>
      <c r="J34" s="797"/>
      <c r="K34" s="897">
        <f t="shared" si="6"/>
        <v>0</v>
      </c>
    </row>
    <row r="35" spans="1:11" ht="18" customHeight="1">
      <c r="A35" s="895" t="s">
        <v>54</v>
      </c>
      <c r="B35" s="896" t="s">
        <v>55</v>
      </c>
      <c r="C35" s="797">
        <f>'buget 2025'!G81</f>
        <v>4296.6000000000004</v>
      </c>
      <c r="D35" s="797">
        <f>SUM(Sheet2!D30:E30)</f>
        <v>2528</v>
      </c>
      <c r="E35" s="797">
        <f>SUM(Sheet2!J30:N30)</f>
        <v>391564.84</v>
      </c>
      <c r="F35" s="797"/>
      <c r="G35" s="797"/>
      <c r="H35" s="797"/>
      <c r="I35" s="797">
        <f t="shared" si="5"/>
        <v>398389.44</v>
      </c>
      <c r="J35" s="797"/>
      <c r="K35" s="897">
        <f t="shared" si="6"/>
        <v>398389.44</v>
      </c>
    </row>
    <row r="36" spans="1:11" ht="18" customHeight="1">
      <c r="A36" s="895" t="s">
        <v>56</v>
      </c>
      <c r="B36" s="896" t="s">
        <v>57</v>
      </c>
      <c r="C36" s="797">
        <f>'buget 2025'!G124</f>
        <v>0</v>
      </c>
      <c r="D36" s="797">
        <f>SUM(Sheet2!D31:E31)</f>
        <v>0</v>
      </c>
      <c r="E36" s="797">
        <f>SUM(Sheet2!J31:N31)</f>
        <v>14</v>
      </c>
      <c r="F36" s="797"/>
      <c r="G36" s="797"/>
      <c r="H36" s="797"/>
      <c r="I36" s="797">
        <f t="shared" si="5"/>
        <v>14</v>
      </c>
      <c r="J36" s="797"/>
      <c r="K36" s="897">
        <f t="shared" si="6"/>
        <v>14</v>
      </c>
    </row>
    <row r="37" spans="1:11" ht="18" customHeight="1">
      <c r="A37" s="895" t="s">
        <v>58</v>
      </c>
      <c r="B37" s="896" t="s">
        <v>59</v>
      </c>
      <c r="C37" s="797">
        <f>'buget 2025'!G131</f>
        <v>0</v>
      </c>
      <c r="D37" s="797">
        <f>SUM(Sheet2!D32:E32)</f>
        <v>0</v>
      </c>
      <c r="E37" s="797">
        <f>SUM(Sheet2!J32:N32)</f>
        <v>0</v>
      </c>
      <c r="F37" s="797"/>
      <c r="G37" s="797"/>
      <c r="H37" s="797"/>
      <c r="I37" s="797">
        <f t="shared" si="5"/>
        <v>0</v>
      </c>
      <c r="J37" s="797"/>
      <c r="K37" s="897">
        <f t="shared" si="6"/>
        <v>0</v>
      </c>
    </row>
    <row r="38" spans="1:11" ht="18" customHeight="1">
      <c r="A38" s="895" t="s">
        <v>60</v>
      </c>
      <c r="B38" s="896" t="s">
        <v>61</v>
      </c>
      <c r="C38" s="797">
        <f t="shared" ref="C38:K38" si="7">SUM(C39,C40)</f>
        <v>122885.67</v>
      </c>
      <c r="D38" s="797">
        <f t="shared" si="7"/>
        <v>22110</v>
      </c>
      <c r="E38" s="797">
        <f t="shared" si="7"/>
        <v>252044</v>
      </c>
      <c r="F38" s="797">
        <f t="shared" si="7"/>
        <v>0</v>
      </c>
      <c r="G38" s="797">
        <f t="shared" si="7"/>
        <v>0</v>
      </c>
      <c r="H38" s="797">
        <f t="shared" si="7"/>
        <v>0</v>
      </c>
      <c r="I38" s="797">
        <f t="shared" si="7"/>
        <v>397039.67000000004</v>
      </c>
      <c r="J38" s="797">
        <f t="shared" si="7"/>
        <v>0</v>
      </c>
      <c r="K38" s="897">
        <f t="shared" si="7"/>
        <v>397039.67000000004</v>
      </c>
    </row>
    <row r="39" spans="1:11" ht="18" customHeight="1">
      <c r="A39" s="899" t="s">
        <v>62</v>
      </c>
      <c r="B39" s="896" t="s">
        <v>63</v>
      </c>
      <c r="C39" s="797">
        <f>SUM('buget 2025'!G143)</f>
        <v>107683.97</v>
      </c>
      <c r="D39" s="797">
        <f>SUM(Sheet2!D34:E34)</f>
        <v>0</v>
      </c>
      <c r="E39" s="797">
        <f>SUM(Sheet2!L34:P34)</f>
        <v>0</v>
      </c>
      <c r="F39" s="797"/>
      <c r="G39" s="797"/>
      <c r="H39" s="797"/>
      <c r="I39" s="797">
        <f>SUM(C39,D39,E39,F39,G39,H39)</f>
        <v>107683.97</v>
      </c>
      <c r="J39" s="797">
        <f>'buget 2025'!G160</f>
        <v>0</v>
      </c>
      <c r="K39" s="897">
        <f>I39-J39</f>
        <v>107683.97</v>
      </c>
    </row>
    <row r="40" spans="1:11" ht="18" customHeight="1">
      <c r="A40" s="899" t="s">
        <v>64</v>
      </c>
      <c r="B40" s="896" t="s">
        <v>65</v>
      </c>
      <c r="C40" s="797">
        <f>'buget 2025'!G206</f>
        <v>15201.7</v>
      </c>
      <c r="D40" s="797">
        <f>SUM(Sheet2!D35:E35)</f>
        <v>22110</v>
      </c>
      <c r="E40" s="797">
        <f>SUM(Sheet2!K35:P35)</f>
        <v>252044</v>
      </c>
      <c r="F40" s="797"/>
      <c r="G40" s="797"/>
      <c r="H40" s="797"/>
      <c r="I40" s="797">
        <f>SUM(C40,D40,E40,F40,G40,H40)</f>
        <v>289355.7</v>
      </c>
      <c r="J40" s="797"/>
      <c r="K40" s="897">
        <f>I40-J40</f>
        <v>289355.7</v>
      </c>
    </row>
    <row r="41" spans="1:11" ht="18" customHeight="1">
      <c r="A41" s="895" t="s">
        <v>66</v>
      </c>
      <c r="B41" s="896" t="s">
        <v>67</v>
      </c>
      <c r="C41" s="797">
        <f>SUM('buget 2025'!G216,'buget 2025'!G266)</f>
        <v>110230.55</v>
      </c>
      <c r="D41" s="797">
        <f>SUM(Sheet2!D41:E41)</f>
        <v>360</v>
      </c>
      <c r="E41" s="797">
        <f>SUM(Sheet2!L41:P41)</f>
        <v>50845.03</v>
      </c>
      <c r="F41" s="797"/>
      <c r="G41" s="797"/>
      <c r="H41" s="797"/>
      <c r="I41" s="797">
        <f>SUM(C41,D41,E41,F41,G41,H41)</f>
        <v>161435.58000000002</v>
      </c>
      <c r="J41" s="797"/>
      <c r="K41" s="897">
        <f>I41-J41</f>
        <v>161435.58000000002</v>
      </c>
    </row>
    <row r="42" spans="1:11" ht="18" customHeight="1">
      <c r="A42" s="901" t="s">
        <v>68</v>
      </c>
      <c r="B42" s="902" t="s">
        <v>67</v>
      </c>
      <c r="C42" s="903">
        <f t="shared" ref="C42:K42" si="8">SUM(C43,C54,C55,C58,C59)</f>
        <v>465592.92</v>
      </c>
      <c r="D42" s="903">
        <f t="shared" si="8"/>
        <v>24998</v>
      </c>
      <c r="E42" s="903">
        <f t="shared" si="8"/>
        <v>712787.72</v>
      </c>
      <c r="F42" s="903">
        <f t="shared" si="8"/>
        <v>0</v>
      </c>
      <c r="G42" s="903">
        <f t="shared" si="8"/>
        <v>6115.2</v>
      </c>
      <c r="H42" s="903">
        <f t="shared" si="8"/>
        <v>0</v>
      </c>
      <c r="I42" s="903">
        <f t="shared" si="8"/>
        <v>1209493.8400000001</v>
      </c>
      <c r="J42" s="903">
        <f t="shared" si="8"/>
        <v>50486.400000000001</v>
      </c>
      <c r="K42" s="904">
        <f t="shared" si="8"/>
        <v>1159007.4399999997</v>
      </c>
    </row>
    <row r="43" spans="1:11" s="169" customFormat="1" ht="18" customHeight="1">
      <c r="A43" s="905" t="s">
        <v>1003</v>
      </c>
      <c r="B43" s="906" t="s">
        <v>69</v>
      </c>
      <c r="C43" s="907">
        <f t="shared" ref="C43:K43" si="9">SUM(C44:C53)</f>
        <v>389194.08999999997</v>
      </c>
      <c r="D43" s="907">
        <f t="shared" si="9"/>
        <v>24470</v>
      </c>
      <c r="E43" s="907">
        <f t="shared" si="9"/>
        <v>703385.54</v>
      </c>
      <c r="F43" s="907">
        <f t="shared" si="9"/>
        <v>0</v>
      </c>
      <c r="G43" s="907">
        <f t="shared" si="9"/>
        <v>6115.2</v>
      </c>
      <c r="H43" s="907">
        <f t="shared" si="9"/>
        <v>0</v>
      </c>
      <c r="I43" s="907">
        <f t="shared" si="9"/>
        <v>1123164.83</v>
      </c>
      <c r="J43" s="907">
        <f t="shared" si="9"/>
        <v>51638.3</v>
      </c>
      <c r="K43" s="908">
        <f t="shared" si="9"/>
        <v>1071526.5299999998</v>
      </c>
    </row>
    <row r="44" spans="1:11" ht="18" customHeight="1">
      <c r="A44" s="899" t="s">
        <v>70</v>
      </c>
      <c r="B44" s="896" t="s">
        <v>71</v>
      </c>
      <c r="C44" s="907">
        <v>88545</v>
      </c>
      <c r="D44" s="797">
        <f>SUM(Sheet2!D44:E44)</f>
        <v>17795.16</v>
      </c>
      <c r="E44" s="797">
        <f>SUM(Sheet2!J44:N44)</f>
        <v>378529</v>
      </c>
      <c r="F44" s="797"/>
      <c r="G44" s="797"/>
      <c r="H44" s="797"/>
      <c r="I44" s="797">
        <f>SUM(C44,D44,E44,F44,G44,H44)</f>
        <v>484869.16000000003</v>
      </c>
      <c r="J44" s="797"/>
      <c r="K44" s="897">
        <f t="shared" ref="K44:K54" si="10">I44-J44</f>
        <v>484869.16000000003</v>
      </c>
    </row>
    <row r="45" spans="1:11" ht="18" customHeight="1">
      <c r="A45" s="899" t="s">
        <v>72</v>
      </c>
      <c r="B45" s="896" t="s">
        <v>73</v>
      </c>
      <c r="C45" s="797">
        <v>34574.1</v>
      </c>
      <c r="D45" s="797">
        <f>SUM(Sheet2!D45:E45)</f>
        <v>5879.84</v>
      </c>
      <c r="E45" s="797">
        <f>SUM(Sheet2!J45:N45)</f>
        <v>268206.51</v>
      </c>
      <c r="F45" s="797"/>
      <c r="G45" s="797"/>
      <c r="H45" s="797"/>
      <c r="I45" s="797">
        <f t="shared" ref="I45:I59" si="11">SUM(C45,D45,E45,F45,G45,H45)</f>
        <v>308660.45</v>
      </c>
      <c r="J45" s="797"/>
      <c r="K45" s="897">
        <f t="shared" si="10"/>
        <v>308660.45</v>
      </c>
    </row>
    <row r="46" spans="1:11" ht="18" customHeight="1">
      <c r="A46" s="899" t="s">
        <v>74</v>
      </c>
      <c r="B46" s="896" t="s">
        <v>75</v>
      </c>
      <c r="C46" s="797">
        <v>2621.7</v>
      </c>
      <c r="D46" s="797">
        <f>SUM(Sheet2!D46:E46)</f>
        <v>0</v>
      </c>
      <c r="E46" s="797">
        <f>SUM(Sheet2!J46:N46)</f>
        <v>0</v>
      </c>
      <c r="F46" s="797"/>
      <c r="G46" s="797"/>
      <c r="H46" s="797"/>
      <c r="I46" s="797">
        <f t="shared" si="11"/>
        <v>2621.7</v>
      </c>
      <c r="J46" s="797"/>
      <c r="K46" s="897">
        <f t="shared" si="10"/>
        <v>2621.7</v>
      </c>
    </row>
    <row r="47" spans="1:11" ht="18" customHeight="1">
      <c r="A47" s="899" t="s">
        <v>76</v>
      </c>
      <c r="B47" s="896" t="s">
        <v>77</v>
      </c>
      <c r="C47" s="797"/>
      <c r="D47" s="797">
        <f>SUM(Sheet2!D47:E47)</f>
        <v>0</v>
      </c>
      <c r="E47" s="797">
        <f>SUM(Sheet2!J47:N47)</f>
        <v>0</v>
      </c>
      <c r="F47" s="797"/>
      <c r="G47" s="797"/>
      <c r="H47" s="797"/>
      <c r="I47" s="797">
        <f t="shared" si="11"/>
        <v>0</v>
      </c>
      <c r="J47" s="797"/>
      <c r="K47" s="897">
        <f t="shared" si="10"/>
        <v>0</v>
      </c>
    </row>
    <row r="48" spans="1:11" ht="18" customHeight="1">
      <c r="A48" s="899" t="s">
        <v>78</v>
      </c>
      <c r="B48" s="896" t="s">
        <v>79</v>
      </c>
      <c r="C48" s="797"/>
      <c r="D48" s="797">
        <f>SUM(Sheet2!D48:E48)</f>
        <v>0</v>
      </c>
      <c r="E48" s="797">
        <f>SUM(Sheet2!J48:N48)</f>
        <v>0</v>
      </c>
      <c r="F48" s="797"/>
      <c r="G48" s="797"/>
      <c r="H48" s="797"/>
      <c r="I48" s="797">
        <f t="shared" si="11"/>
        <v>0</v>
      </c>
      <c r="J48" s="797"/>
      <c r="K48" s="897">
        <f t="shared" si="10"/>
        <v>0</v>
      </c>
    </row>
    <row r="49" spans="1:14" ht="18" customHeight="1">
      <c r="A49" s="899" t="s">
        <v>80</v>
      </c>
      <c r="B49" s="896" t="s">
        <v>81</v>
      </c>
      <c r="C49" s="797">
        <v>46349</v>
      </c>
      <c r="D49" s="797">
        <f>SUM(Sheet2!D49:E49)</f>
        <v>0</v>
      </c>
      <c r="E49" s="797">
        <f>SUM(Sheet2!J49:N49)</f>
        <v>0</v>
      </c>
      <c r="F49" s="797"/>
      <c r="G49" s="797"/>
      <c r="H49" s="797"/>
      <c r="I49" s="797">
        <f t="shared" si="11"/>
        <v>46349</v>
      </c>
      <c r="J49" s="797">
        <f>'buget 2025'!G657+'buget 2025'!G769+'buget 2025'!G775+'buget 2025'!G778+'buget 2025'!G832+'buget 2025'!G841+'buget 2025'!G850+'buget 2025'!G856+'buget 2025'!G992+'buget 2025'!G1035</f>
        <v>46310</v>
      </c>
      <c r="K49" s="897">
        <f t="shared" si="10"/>
        <v>39</v>
      </c>
      <c r="L49" s="909"/>
      <c r="M49" s="910"/>
      <c r="N49" s="859"/>
    </row>
    <row r="50" spans="1:14" ht="18" customHeight="1">
      <c r="A50" s="899" t="s">
        <v>82</v>
      </c>
      <c r="B50" s="896" t="s">
        <v>83</v>
      </c>
      <c r="C50" s="797">
        <v>5000</v>
      </c>
      <c r="D50" s="797">
        <f>SUM(Sheet2!D50:E50)</f>
        <v>0</v>
      </c>
      <c r="E50" s="797">
        <f>SUM(Sheet2!J50:N50)</f>
        <v>0</v>
      </c>
      <c r="F50" s="797"/>
      <c r="G50" s="797"/>
      <c r="H50" s="797"/>
      <c r="I50" s="797">
        <f t="shared" si="11"/>
        <v>5000</v>
      </c>
      <c r="J50" s="797">
        <f>'buget 2025'!G636+'buget 2025'!G638+'buget 2025'!G728+'buget 2025'!G733+'buget 2025'!G1036</f>
        <v>5328.3</v>
      </c>
      <c r="K50" s="897">
        <f t="shared" si="10"/>
        <v>-328.30000000000018</v>
      </c>
      <c r="L50" s="909"/>
      <c r="M50" s="910"/>
      <c r="N50" s="859"/>
    </row>
    <row r="51" spans="1:14" ht="21.75" customHeight="1">
      <c r="A51" s="911" t="s">
        <v>84</v>
      </c>
      <c r="B51" s="896" t="s">
        <v>85</v>
      </c>
      <c r="C51" s="797">
        <f>115361.79+11600.4+60621.2</f>
        <v>187583.38999999998</v>
      </c>
      <c r="D51" s="797">
        <f>SUM(Sheet2!D51:E51)</f>
        <v>735</v>
      </c>
      <c r="E51" s="797">
        <f>SUM(Sheet2!J51:N51)</f>
        <v>55225.03</v>
      </c>
      <c r="F51" s="797"/>
      <c r="G51" s="797">
        <v>6115.2</v>
      </c>
      <c r="H51" s="797"/>
      <c r="I51" s="797">
        <f t="shared" si="11"/>
        <v>249658.62</v>
      </c>
      <c r="J51" s="797"/>
      <c r="K51" s="897">
        <f t="shared" si="10"/>
        <v>249658.62</v>
      </c>
      <c r="L51" s="909"/>
      <c r="M51" s="910"/>
      <c r="N51" s="859"/>
    </row>
    <row r="52" spans="1:14" ht="18" customHeight="1">
      <c r="A52" s="899" t="s">
        <v>86</v>
      </c>
      <c r="B52" s="896" t="s">
        <v>87</v>
      </c>
      <c r="C52" s="797">
        <v>18546</v>
      </c>
      <c r="D52" s="797">
        <f>SUM(Sheet2!D52:E52)</f>
        <v>0</v>
      </c>
      <c r="E52" s="797">
        <f>SUM(Sheet2!J52:N52)</f>
        <v>0</v>
      </c>
      <c r="F52" s="797"/>
      <c r="G52" s="797"/>
      <c r="H52" s="797"/>
      <c r="I52" s="797">
        <f t="shared" si="11"/>
        <v>18546</v>
      </c>
      <c r="J52" s="797"/>
      <c r="K52" s="897">
        <f t="shared" si="10"/>
        <v>18546</v>
      </c>
      <c r="L52" s="909"/>
      <c r="M52" s="910"/>
      <c r="N52" s="859"/>
    </row>
    <row r="53" spans="1:14" ht="18" customHeight="1">
      <c r="A53" s="899" t="s">
        <v>88</v>
      </c>
      <c r="B53" s="896" t="s">
        <v>89</v>
      </c>
      <c r="C53" s="797">
        <v>5974.9</v>
      </c>
      <c r="D53" s="797">
        <f>SUM(Sheet2!D53:E53)</f>
        <v>60</v>
      </c>
      <c r="E53" s="797">
        <f>SUM(Sheet2!J53:N53)</f>
        <v>1425</v>
      </c>
      <c r="F53" s="797"/>
      <c r="G53" s="797"/>
      <c r="H53" s="797"/>
      <c r="I53" s="797">
        <f t="shared" si="11"/>
        <v>7459.9</v>
      </c>
      <c r="J53" s="797"/>
      <c r="K53" s="897">
        <f t="shared" si="10"/>
        <v>7459.9</v>
      </c>
      <c r="L53" s="909"/>
      <c r="M53" s="910"/>
      <c r="N53" s="859"/>
    </row>
    <row r="54" spans="1:14" ht="18" customHeight="1">
      <c r="A54" s="899" t="s">
        <v>90</v>
      </c>
      <c r="B54" s="896" t="s">
        <v>91</v>
      </c>
      <c r="C54" s="797">
        <v>69040.53</v>
      </c>
      <c r="D54" s="797">
        <f>SUM(Sheet2!D54:E54)</f>
        <v>550</v>
      </c>
      <c r="E54" s="797">
        <f>SUM(Sheet2!J54:N54)</f>
        <v>9758.61</v>
      </c>
      <c r="F54" s="797"/>
      <c r="G54" s="797"/>
      <c r="H54" s="797"/>
      <c r="I54" s="797">
        <f t="shared" si="11"/>
        <v>79349.14</v>
      </c>
      <c r="J54" s="797"/>
      <c r="K54" s="897">
        <f t="shared" si="10"/>
        <v>79349.14</v>
      </c>
      <c r="L54" s="909"/>
      <c r="M54" s="910"/>
      <c r="N54" s="909"/>
    </row>
    <row r="55" spans="1:14" s="169" customFormat="1" ht="18" customHeight="1">
      <c r="A55" s="905" t="s">
        <v>92</v>
      </c>
      <c r="B55" s="906" t="s">
        <v>93</v>
      </c>
      <c r="C55" s="907">
        <f t="shared" ref="C55" si="12">SUM(C56:C57)</f>
        <v>8584</v>
      </c>
      <c r="D55" s="907">
        <f t="shared" ref="D55:K55" si="13">SUM(D56:D57)</f>
        <v>0</v>
      </c>
      <c r="E55" s="907">
        <f t="shared" si="13"/>
        <v>0</v>
      </c>
      <c r="F55" s="907">
        <f t="shared" si="13"/>
        <v>0</v>
      </c>
      <c r="G55" s="907">
        <f t="shared" si="13"/>
        <v>0</v>
      </c>
      <c r="H55" s="907">
        <f t="shared" si="13"/>
        <v>0</v>
      </c>
      <c r="I55" s="907">
        <f t="shared" si="11"/>
        <v>8584</v>
      </c>
      <c r="J55" s="907">
        <f t="shared" si="13"/>
        <v>0</v>
      </c>
      <c r="K55" s="908">
        <f t="shared" si="13"/>
        <v>8584</v>
      </c>
      <c r="L55" s="912"/>
      <c r="M55" s="913"/>
      <c r="N55" s="914"/>
    </row>
    <row r="56" spans="1:14" ht="18" customHeight="1">
      <c r="A56" s="899" t="s">
        <v>94</v>
      </c>
      <c r="B56" s="896" t="s">
        <v>95</v>
      </c>
      <c r="C56" s="797"/>
      <c r="D56" s="797">
        <f>SUM(Sheet2!D56:E56)</f>
        <v>0</v>
      </c>
      <c r="E56" s="797">
        <f>SUM(Sheet2!J56:N56)</f>
        <v>0</v>
      </c>
      <c r="F56" s="797"/>
      <c r="G56" s="797"/>
      <c r="H56" s="797"/>
      <c r="I56" s="797">
        <f t="shared" si="11"/>
        <v>0</v>
      </c>
      <c r="J56" s="797"/>
      <c r="K56" s="897">
        <f>I56-J56</f>
        <v>0</v>
      </c>
      <c r="L56" s="859"/>
      <c r="M56" s="910"/>
      <c r="N56" s="859"/>
    </row>
    <row r="57" spans="1:14" ht="18" customHeight="1">
      <c r="A57" s="915" t="s">
        <v>96</v>
      </c>
      <c r="B57" s="896" t="s">
        <v>97</v>
      </c>
      <c r="C57" s="797">
        <v>8584</v>
      </c>
      <c r="D57" s="797">
        <f>SUM(Sheet2!D57:E57)</f>
        <v>0</v>
      </c>
      <c r="E57" s="797">
        <f>SUM(Sheet2!J57:N57)</f>
        <v>0</v>
      </c>
      <c r="F57" s="797"/>
      <c r="G57" s="797"/>
      <c r="H57" s="797"/>
      <c r="I57" s="797">
        <f t="shared" si="11"/>
        <v>8584</v>
      </c>
      <c r="J57" s="797"/>
      <c r="K57" s="897">
        <f>I57-J57</f>
        <v>8584</v>
      </c>
      <c r="L57" s="909"/>
      <c r="M57" s="910"/>
      <c r="N57" s="859"/>
    </row>
    <row r="58" spans="1:14" ht="24" customHeight="1">
      <c r="A58" s="915" t="s">
        <v>98</v>
      </c>
      <c r="B58" s="896" t="s">
        <v>99</v>
      </c>
      <c r="C58" s="797">
        <v>-1225.7</v>
      </c>
      <c r="D58" s="797">
        <f>SUM(Sheet2!D58:E58)</f>
        <v>-22</v>
      </c>
      <c r="E58" s="797">
        <f>SUM(Sheet2!J58:N58)</f>
        <v>-356.43</v>
      </c>
      <c r="F58" s="797"/>
      <c r="G58" s="797"/>
      <c r="H58" s="797"/>
      <c r="I58" s="797">
        <f t="shared" si="11"/>
        <v>-1604.13</v>
      </c>
      <c r="J58" s="797">
        <f>'buget 2025'!G1037</f>
        <v>-1151.9000000000001</v>
      </c>
      <c r="K58" s="897">
        <f>I58-J58</f>
        <v>-452.23</v>
      </c>
      <c r="L58" s="859"/>
      <c r="M58" s="910"/>
      <c r="N58" s="859"/>
    </row>
    <row r="59" spans="1:14" ht="18" customHeight="1">
      <c r="A59" s="915" t="s">
        <v>100</v>
      </c>
      <c r="B59" s="896" t="s">
        <v>101</v>
      </c>
      <c r="C59" s="797"/>
      <c r="D59" s="797">
        <f>SUM(Sheet2!D59:E59)</f>
        <v>0</v>
      </c>
      <c r="E59" s="797">
        <f>SUM(Sheet2!J59:N59)</f>
        <v>0</v>
      </c>
      <c r="F59" s="797"/>
      <c r="G59" s="797"/>
      <c r="H59" s="797"/>
      <c r="I59" s="797">
        <f t="shared" si="11"/>
        <v>0</v>
      </c>
      <c r="J59" s="797"/>
      <c r="K59" s="897">
        <f>I59-J59</f>
        <v>0</v>
      </c>
      <c r="L59" s="859"/>
      <c r="M59" s="910"/>
      <c r="N59" s="859"/>
    </row>
    <row r="60" spans="1:14" s="169" customFormat="1" ht="30" customHeight="1">
      <c r="A60" s="916" t="s">
        <v>1004</v>
      </c>
      <c r="B60" s="906" t="s">
        <v>102</v>
      </c>
      <c r="C60" s="907">
        <f>C19-C42</f>
        <v>-13662</v>
      </c>
      <c r="D60" s="907">
        <f t="shared" ref="D60:K60" si="14">D19-D42</f>
        <v>0</v>
      </c>
      <c r="E60" s="907">
        <f t="shared" si="14"/>
        <v>-18319.84999999986</v>
      </c>
      <c r="F60" s="907">
        <f t="shared" si="14"/>
        <v>0</v>
      </c>
      <c r="G60" s="907">
        <f t="shared" si="14"/>
        <v>-6115.2</v>
      </c>
      <c r="H60" s="907">
        <f t="shared" si="14"/>
        <v>0</v>
      </c>
      <c r="I60" s="907">
        <f t="shared" si="14"/>
        <v>-38097.050000000047</v>
      </c>
      <c r="J60" s="907">
        <f t="shared" si="14"/>
        <v>14897.699999999997</v>
      </c>
      <c r="K60" s="908">
        <f t="shared" si="14"/>
        <v>-52994.749999999767</v>
      </c>
      <c r="L60" s="912"/>
      <c r="M60" s="913">
        <v>-26610.999999999902</v>
      </c>
      <c r="N60" s="917">
        <f>M60-C60</f>
        <v>-12948.999999999902</v>
      </c>
    </row>
    <row r="61" spans="1:14" ht="15" customHeight="1">
      <c r="A61" s="918" t="s">
        <v>103</v>
      </c>
      <c r="B61" s="896" t="s">
        <v>104</v>
      </c>
      <c r="C61" s="903">
        <f>SUM(C62,C65,C68,C71,C74,C77,C80,C83,C86,C89,C92,C95,C98,C101,C104,C107,C110)</f>
        <v>465592.92000000004</v>
      </c>
      <c r="D61" s="903">
        <f>SUM(D62,D65,D68,D71,D74,D77,D80,D83,D86,D89,D92,D95,D98,D101,D104,D107,D110)</f>
        <v>24998</v>
      </c>
      <c r="E61" s="903">
        <f>SUM(E62,E65,E68,E71,E74,E77,E80,E83,E86,E89,E92,E95,E98,E101,E104,E107,E110)</f>
        <v>712787.72</v>
      </c>
      <c r="F61" s="903">
        <f t="shared" ref="F61:I61" si="15">SUM(F62,F65,F68,F71,F74,F77,F80,F83,F86,F89,F92,F95,F98,F101,F104,F107,F110)</f>
        <v>0</v>
      </c>
      <c r="G61" s="903">
        <f t="shared" si="15"/>
        <v>6115.2</v>
      </c>
      <c r="H61" s="903">
        <f t="shared" si="15"/>
        <v>0</v>
      </c>
      <c r="I61" s="903">
        <f t="shared" si="15"/>
        <v>1209493.8399999999</v>
      </c>
      <c r="J61" s="903">
        <f t="shared" ref="J61:K61" si="16">SUM(J62,J65,J68,J71,J74,J77,J80,J83,J86,J89,J92,J95,J98,J101,J104,J107,J110)</f>
        <v>50486.400000000001</v>
      </c>
      <c r="K61" s="904">
        <f t="shared" si="16"/>
        <v>1159007.44</v>
      </c>
      <c r="L61" s="858"/>
      <c r="M61" s="858"/>
      <c r="N61" s="858"/>
    </row>
    <row r="62" spans="1:14" ht="15" customHeight="1">
      <c r="A62" s="919" t="s">
        <v>105</v>
      </c>
      <c r="B62" s="902" t="s">
        <v>106</v>
      </c>
      <c r="C62" s="903">
        <f t="shared" ref="C62:K62" si="17">SUM(C63:C64)</f>
        <v>41227.599999999999</v>
      </c>
      <c r="D62" s="903">
        <f t="shared" si="17"/>
        <v>0</v>
      </c>
      <c r="E62" s="903">
        <f t="shared" si="17"/>
        <v>0</v>
      </c>
      <c r="F62" s="903">
        <f t="shared" si="17"/>
        <v>0</v>
      </c>
      <c r="G62" s="903">
        <f t="shared" si="17"/>
        <v>0</v>
      </c>
      <c r="H62" s="903">
        <f t="shared" si="17"/>
        <v>0</v>
      </c>
      <c r="I62" s="903">
        <f t="shared" si="17"/>
        <v>41227.599999999999</v>
      </c>
      <c r="J62" s="903">
        <f t="shared" si="17"/>
        <v>989.3</v>
      </c>
      <c r="K62" s="904">
        <f t="shared" si="17"/>
        <v>40238.300000000003</v>
      </c>
      <c r="L62" s="858"/>
      <c r="M62" s="858"/>
      <c r="N62" s="858"/>
    </row>
    <row r="63" spans="1:14" ht="15" customHeight="1">
      <c r="A63" s="916" t="s">
        <v>107</v>
      </c>
      <c r="B63" s="896" t="s">
        <v>108</v>
      </c>
      <c r="C63" s="797">
        <f>'buget 2025'!G623</f>
        <v>25720.1</v>
      </c>
      <c r="D63" s="797">
        <f>SUM(Sheet2!D63:E63)</f>
        <v>0</v>
      </c>
      <c r="E63" s="797">
        <f>SUM(Sheet2!J63:N63)</f>
        <v>0</v>
      </c>
      <c r="F63" s="797"/>
      <c r="G63" s="797"/>
      <c r="H63" s="797"/>
      <c r="I63" s="797">
        <f>SUM(C63,D63,E63,F63,G63,H63)</f>
        <v>25720.1</v>
      </c>
      <c r="J63" s="797"/>
      <c r="K63" s="897">
        <f>I63-J63</f>
        <v>25720.1</v>
      </c>
      <c r="L63" s="859"/>
      <c r="M63" s="859"/>
      <c r="N63" s="859"/>
    </row>
    <row r="64" spans="1:14" ht="15" customHeight="1">
      <c r="A64" s="916" t="s">
        <v>109</v>
      </c>
      <c r="B64" s="896" t="s">
        <v>110</v>
      </c>
      <c r="C64" s="797">
        <f>'buget 2025'!G629</f>
        <v>15507.5</v>
      </c>
      <c r="D64" s="797">
        <f>SUM(Sheet2!D64:E64)</f>
        <v>0</v>
      </c>
      <c r="E64" s="797">
        <f>SUM(Sheet2!J64:N64)</f>
        <v>0</v>
      </c>
      <c r="F64" s="797"/>
      <c r="G64" s="797"/>
      <c r="H64" s="797"/>
      <c r="I64" s="797">
        <f>SUM(C64,D64,E64,F64,G64,H64)</f>
        <v>15507.5</v>
      </c>
      <c r="J64" s="797">
        <f>'buget 2025'!G636+'buget 2025'!G638</f>
        <v>989.3</v>
      </c>
      <c r="K64" s="897">
        <f>I64-J64</f>
        <v>14518.2</v>
      </c>
      <c r="L64" s="859"/>
      <c r="M64" s="859"/>
      <c r="N64" s="859"/>
    </row>
    <row r="65" spans="1:11" ht="15" customHeight="1">
      <c r="A65" s="919" t="s">
        <v>111</v>
      </c>
      <c r="B65" s="902" t="s">
        <v>112</v>
      </c>
      <c r="C65" s="903">
        <f t="shared" ref="C65:K65" si="18">SUM(C66:C67)</f>
        <v>2700</v>
      </c>
      <c r="D65" s="903">
        <f t="shared" si="18"/>
        <v>2820</v>
      </c>
      <c r="E65" s="903">
        <f t="shared" si="18"/>
        <v>0</v>
      </c>
      <c r="F65" s="903">
        <f t="shared" si="18"/>
        <v>0</v>
      </c>
      <c r="G65" s="903">
        <f t="shared" si="18"/>
        <v>0</v>
      </c>
      <c r="H65" s="903">
        <f t="shared" si="18"/>
        <v>0</v>
      </c>
      <c r="I65" s="903">
        <f t="shared" si="18"/>
        <v>5520</v>
      </c>
      <c r="J65" s="903">
        <f t="shared" si="18"/>
        <v>2700</v>
      </c>
      <c r="K65" s="904">
        <f t="shared" si="18"/>
        <v>2820</v>
      </c>
    </row>
    <row r="66" spans="1:11" ht="15" customHeight="1">
      <c r="A66" s="916" t="s">
        <v>107</v>
      </c>
      <c r="B66" s="896" t="s">
        <v>113</v>
      </c>
      <c r="C66" s="797">
        <f>'buget 2025'!G658</f>
        <v>2700</v>
      </c>
      <c r="D66" s="797">
        <f>SUM(Sheet2!D66:E66)</f>
        <v>2820</v>
      </c>
      <c r="E66" s="797">
        <f>SUM(Sheet2!J66:N66)</f>
        <v>0</v>
      </c>
      <c r="F66" s="797"/>
      <c r="G66" s="797"/>
      <c r="H66" s="797"/>
      <c r="I66" s="797">
        <f>SUM(C66,D66,E66,F66,G66,H66)</f>
        <v>5520</v>
      </c>
      <c r="J66" s="797">
        <f>Sheet2!D39</f>
        <v>2700</v>
      </c>
      <c r="K66" s="897">
        <f>I66-J66</f>
        <v>2820</v>
      </c>
    </row>
    <row r="67" spans="1:11" ht="15" customHeight="1">
      <c r="A67" s="916" t="s">
        <v>109</v>
      </c>
      <c r="B67" s="896" t="s">
        <v>114</v>
      </c>
      <c r="C67" s="797">
        <f>SUM('buget 2025'!G647)</f>
        <v>0</v>
      </c>
      <c r="D67" s="797">
        <f>SUM(Sheet2!D67:E67)</f>
        <v>0</v>
      </c>
      <c r="E67" s="797">
        <f>SUM(Sheet2!J67:N67)</f>
        <v>0</v>
      </c>
      <c r="F67" s="797"/>
      <c r="G67" s="797"/>
      <c r="H67" s="797"/>
      <c r="I67" s="797">
        <f>SUM(C67,D67,E67,F67,G67,H67)</f>
        <v>0</v>
      </c>
      <c r="J67" s="797">
        <f>Sheet2!D40</f>
        <v>0</v>
      </c>
      <c r="K67" s="897">
        <f>I67-J67</f>
        <v>0</v>
      </c>
    </row>
    <row r="68" spans="1:11" ht="15.75" customHeight="1">
      <c r="A68" s="919" t="s">
        <v>115</v>
      </c>
      <c r="B68" s="902" t="s">
        <v>116</v>
      </c>
      <c r="C68" s="903">
        <f t="shared" ref="C68:K68" si="19">SUM(C69:C70)</f>
        <v>2680.7</v>
      </c>
      <c r="D68" s="903">
        <f t="shared" si="19"/>
        <v>0</v>
      </c>
      <c r="E68" s="903">
        <f t="shared" si="19"/>
        <v>0</v>
      </c>
      <c r="F68" s="903">
        <f t="shared" si="19"/>
        <v>0</v>
      </c>
      <c r="G68" s="903">
        <f t="shared" si="19"/>
        <v>0</v>
      </c>
      <c r="H68" s="903">
        <f t="shared" si="19"/>
        <v>0</v>
      </c>
      <c r="I68" s="903">
        <f t="shared" si="19"/>
        <v>2680.7</v>
      </c>
      <c r="J68" s="903">
        <f t="shared" si="19"/>
        <v>0</v>
      </c>
      <c r="K68" s="904">
        <f t="shared" si="19"/>
        <v>2680.7</v>
      </c>
    </row>
    <row r="69" spans="1:11" ht="15.75" customHeight="1">
      <c r="A69" s="916" t="s">
        <v>107</v>
      </c>
      <c r="B69" s="896" t="s">
        <v>117</v>
      </c>
      <c r="C69" s="797">
        <f>'buget 2025'!G665</f>
        <v>2680.7</v>
      </c>
      <c r="D69" s="797">
        <f>SUM(Sheet2!D69:E69)</f>
        <v>0</v>
      </c>
      <c r="E69" s="797">
        <f>SUM(Sheet2!J69:N69)</f>
        <v>0</v>
      </c>
      <c r="F69" s="797"/>
      <c r="G69" s="797"/>
      <c r="H69" s="797"/>
      <c r="I69" s="797">
        <f>SUM(C69,D69,E69,F69,G69,H69)</f>
        <v>2680.7</v>
      </c>
      <c r="J69" s="797"/>
      <c r="K69" s="897">
        <f>I69-J69</f>
        <v>2680.7</v>
      </c>
    </row>
    <row r="70" spans="1:11" ht="15.75" customHeight="1">
      <c r="A70" s="916" t="s">
        <v>109</v>
      </c>
      <c r="B70" s="896" t="s">
        <v>118</v>
      </c>
      <c r="C70" s="797"/>
      <c r="D70" s="797">
        <f>SUM(Sheet2!D70:E70)</f>
        <v>0</v>
      </c>
      <c r="E70" s="797">
        <f>SUM(Sheet2!J70:N70)</f>
        <v>0</v>
      </c>
      <c r="F70" s="797"/>
      <c r="G70" s="797"/>
      <c r="H70" s="797"/>
      <c r="I70" s="797">
        <f>SUM(C70,D70,E70,F70,G70,H70)</f>
        <v>0</v>
      </c>
      <c r="J70" s="797"/>
      <c r="K70" s="897">
        <f>I70-J70</f>
        <v>0</v>
      </c>
    </row>
    <row r="71" spans="1:11" ht="22.5" customHeight="1">
      <c r="A71" s="919" t="s">
        <v>119</v>
      </c>
      <c r="B71" s="902" t="s">
        <v>120</v>
      </c>
      <c r="C71" s="903">
        <f t="shared" ref="C71:K71" si="20">SUM(C72:C73)</f>
        <v>0</v>
      </c>
      <c r="D71" s="903">
        <f t="shared" si="20"/>
        <v>0</v>
      </c>
      <c r="E71" s="903">
        <f t="shared" si="20"/>
        <v>0</v>
      </c>
      <c r="F71" s="903">
        <f t="shared" si="20"/>
        <v>0</v>
      </c>
      <c r="G71" s="903">
        <f t="shared" si="20"/>
        <v>0</v>
      </c>
      <c r="H71" s="903">
        <f t="shared" si="20"/>
        <v>0</v>
      </c>
      <c r="I71" s="903">
        <f t="shared" si="20"/>
        <v>0</v>
      </c>
      <c r="J71" s="903">
        <f t="shared" si="20"/>
        <v>0</v>
      </c>
      <c r="K71" s="904">
        <f t="shared" si="20"/>
        <v>0</v>
      </c>
    </row>
    <row r="72" spans="1:11" ht="16.5" customHeight="1">
      <c r="A72" s="916" t="s">
        <v>107</v>
      </c>
      <c r="B72" s="896" t="s">
        <v>121</v>
      </c>
      <c r="C72" s="797"/>
      <c r="D72" s="797">
        <f>SUM(Sheet2!D72:E72)</f>
        <v>0</v>
      </c>
      <c r="E72" s="797">
        <f>SUM(Sheet2!J72:N72)</f>
        <v>0</v>
      </c>
      <c r="F72" s="797"/>
      <c r="G72" s="797"/>
      <c r="H72" s="797"/>
      <c r="I72" s="797">
        <f>SUM(C72,D72,E72,F72,G72,H72)</f>
        <v>0</v>
      </c>
      <c r="J72" s="797"/>
      <c r="K72" s="897">
        <f>I72-J72</f>
        <v>0</v>
      </c>
    </row>
    <row r="73" spans="1:11" ht="18" customHeight="1">
      <c r="A73" s="916" t="s">
        <v>109</v>
      </c>
      <c r="B73" s="896" t="s">
        <v>122</v>
      </c>
      <c r="C73" s="797"/>
      <c r="D73" s="797">
        <f>SUM(Sheet2!D73:E73)</f>
        <v>0</v>
      </c>
      <c r="E73" s="797">
        <f>SUM(Sheet2!J73:N73)</f>
        <v>0</v>
      </c>
      <c r="F73" s="797"/>
      <c r="G73" s="797"/>
      <c r="H73" s="797"/>
      <c r="I73" s="797">
        <f>SUM(C73,D73,E73,F73,G73,H73)</f>
        <v>0</v>
      </c>
      <c r="J73" s="797"/>
      <c r="K73" s="897">
        <f>I73-J73</f>
        <v>0</v>
      </c>
    </row>
    <row r="74" spans="1:11" ht="15" customHeight="1">
      <c r="A74" s="919" t="s">
        <v>123</v>
      </c>
      <c r="B74" s="902" t="s">
        <v>124</v>
      </c>
      <c r="C74" s="903">
        <f t="shared" ref="C74:K74" si="21">SUM(C75:C76)</f>
        <v>540</v>
      </c>
      <c r="D74" s="903">
        <f t="shared" si="21"/>
        <v>0</v>
      </c>
      <c r="E74" s="903">
        <f t="shared" si="21"/>
        <v>0</v>
      </c>
      <c r="F74" s="903">
        <f t="shared" si="21"/>
        <v>0</v>
      </c>
      <c r="G74" s="903">
        <f t="shared" si="21"/>
        <v>0</v>
      </c>
      <c r="H74" s="903">
        <f t="shared" si="21"/>
        <v>0</v>
      </c>
      <c r="I74" s="903">
        <f t="shared" si="21"/>
        <v>540</v>
      </c>
      <c r="J74" s="903">
        <f t="shared" si="21"/>
        <v>0</v>
      </c>
      <c r="K74" s="904">
        <f t="shared" si="21"/>
        <v>540</v>
      </c>
    </row>
    <row r="75" spans="1:11" ht="15" customHeight="1">
      <c r="A75" s="916" t="s">
        <v>107</v>
      </c>
      <c r="B75" s="896" t="s">
        <v>125</v>
      </c>
      <c r="C75" s="797">
        <f>'buget 2025'!G677</f>
        <v>451</v>
      </c>
      <c r="D75" s="797">
        <f>SUM(Sheet2!D75:E75)</f>
        <v>0</v>
      </c>
      <c r="E75" s="797">
        <f>SUM(Sheet2!J75:N75)</f>
        <v>0</v>
      </c>
      <c r="F75" s="797"/>
      <c r="G75" s="797"/>
      <c r="H75" s="797"/>
      <c r="I75" s="797">
        <f>SUM(C75,D75,E75,F75,G75,H75)</f>
        <v>451</v>
      </c>
      <c r="J75" s="797"/>
      <c r="K75" s="897">
        <f>I75-J75</f>
        <v>451</v>
      </c>
    </row>
    <row r="76" spans="1:11" ht="15" customHeight="1">
      <c r="A76" s="916" t="s">
        <v>109</v>
      </c>
      <c r="B76" s="896" t="s">
        <v>126</v>
      </c>
      <c r="C76" s="797">
        <f>'buget 2025'!G678</f>
        <v>89</v>
      </c>
      <c r="D76" s="797">
        <f>SUM(Sheet2!D76:E76)</f>
        <v>0</v>
      </c>
      <c r="E76" s="797">
        <f>SUM(Sheet2!J76:N76)</f>
        <v>0</v>
      </c>
      <c r="F76" s="797"/>
      <c r="G76" s="797"/>
      <c r="H76" s="797"/>
      <c r="I76" s="797">
        <f>SUM(C76,D76,E76,F76,G76,H76)</f>
        <v>89</v>
      </c>
      <c r="J76" s="797"/>
      <c r="K76" s="897">
        <f>I76-J76</f>
        <v>89</v>
      </c>
    </row>
    <row r="77" spans="1:11" ht="15" customHeight="1">
      <c r="A77" s="919" t="s">
        <v>127</v>
      </c>
      <c r="B77" s="902" t="s">
        <v>128</v>
      </c>
      <c r="C77" s="903">
        <f t="shared" ref="C77:K77" si="22">SUM(C78:C79)</f>
        <v>3933.2</v>
      </c>
      <c r="D77" s="903">
        <f t="shared" si="22"/>
        <v>0</v>
      </c>
      <c r="E77" s="903">
        <f t="shared" si="22"/>
        <v>0</v>
      </c>
      <c r="F77" s="903">
        <f t="shared" si="22"/>
        <v>0</v>
      </c>
      <c r="G77" s="903">
        <f t="shared" si="22"/>
        <v>0</v>
      </c>
      <c r="H77" s="903">
        <f t="shared" si="22"/>
        <v>0</v>
      </c>
      <c r="I77" s="903">
        <f t="shared" si="22"/>
        <v>3933.2</v>
      </c>
      <c r="J77" s="903">
        <f t="shared" si="22"/>
        <v>0</v>
      </c>
      <c r="K77" s="904">
        <f t="shared" si="22"/>
        <v>3933.2</v>
      </c>
    </row>
    <row r="78" spans="1:11" ht="15" customHeight="1">
      <c r="A78" s="916" t="s">
        <v>107</v>
      </c>
      <c r="B78" s="896" t="s">
        <v>129</v>
      </c>
      <c r="C78" s="797">
        <f>'buget 2025'!G685</f>
        <v>800</v>
      </c>
      <c r="D78" s="797">
        <f>SUM(Sheet2!D78:E78)</f>
        <v>0</v>
      </c>
      <c r="E78" s="797">
        <f>SUM(Sheet2!J78:N78)</f>
        <v>0</v>
      </c>
      <c r="F78" s="797"/>
      <c r="G78" s="797"/>
      <c r="H78" s="797"/>
      <c r="I78" s="797">
        <f>SUM(C78,D78,E78,F78,G78,H78)</f>
        <v>800</v>
      </c>
      <c r="J78" s="797"/>
      <c r="K78" s="897">
        <f>I78-J78</f>
        <v>800</v>
      </c>
    </row>
    <row r="79" spans="1:11" ht="15" customHeight="1">
      <c r="A79" s="916" t="s">
        <v>109</v>
      </c>
      <c r="B79" s="896" t="s">
        <v>130</v>
      </c>
      <c r="C79" s="797">
        <f>'buget 2025'!G686</f>
        <v>3133.2</v>
      </c>
      <c r="D79" s="797">
        <f>SUM(Sheet2!D79:E79)</f>
        <v>0</v>
      </c>
      <c r="E79" s="797">
        <f>SUM(Sheet2!J79:N79)</f>
        <v>0</v>
      </c>
      <c r="F79" s="797"/>
      <c r="G79" s="797"/>
      <c r="H79" s="797"/>
      <c r="I79" s="797">
        <f>SUM(C79,D79,E79,F79,G79,H79)</f>
        <v>3133.2</v>
      </c>
      <c r="J79" s="797"/>
      <c r="K79" s="897">
        <f>I79-J79</f>
        <v>3133.2</v>
      </c>
    </row>
    <row r="80" spans="1:11" ht="15" customHeight="1">
      <c r="A80" s="919" t="s">
        <v>131</v>
      </c>
      <c r="B80" s="902" t="s">
        <v>132</v>
      </c>
      <c r="C80" s="903">
        <f>SUM(C81:C82)</f>
        <v>13770.19</v>
      </c>
      <c r="D80" s="903">
        <f t="shared" ref="D80:K80" si="23">SUM(D81:D82)</f>
        <v>0</v>
      </c>
      <c r="E80" s="903">
        <f t="shared" si="23"/>
        <v>0</v>
      </c>
      <c r="F80" s="903">
        <f t="shared" si="23"/>
        <v>0</v>
      </c>
      <c r="G80" s="903">
        <f t="shared" si="23"/>
        <v>0</v>
      </c>
      <c r="H80" s="903">
        <f t="shared" si="23"/>
        <v>0</v>
      </c>
      <c r="I80" s="903">
        <f t="shared" si="23"/>
        <v>13770.19</v>
      </c>
      <c r="J80" s="903">
        <f t="shared" si="23"/>
        <v>339</v>
      </c>
      <c r="K80" s="904">
        <f t="shared" si="23"/>
        <v>13431.19</v>
      </c>
    </row>
    <row r="81" spans="1:11" ht="15" customHeight="1">
      <c r="A81" s="916" t="s">
        <v>107</v>
      </c>
      <c r="B81" s="896" t="s">
        <v>133</v>
      </c>
      <c r="C81" s="797">
        <f>'buget 2025'!G708</f>
        <v>12535</v>
      </c>
      <c r="D81" s="797">
        <f>SUM(Sheet2!D81:E81)</f>
        <v>0</v>
      </c>
      <c r="E81" s="797">
        <f>SUM(Sheet2!J81:N81)</f>
        <v>0</v>
      </c>
      <c r="F81" s="797"/>
      <c r="G81" s="797"/>
      <c r="H81" s="797"/>
      <c r="I81" s="797">
        <f>SUM(C81,D81,E81,F81,G81,H81)</f>
        <v>12535</v>
      </c>
      <c r="J81" s="797">
        <f>'buget 2025'!G733+'buget 2025'!G725</f>
        <v>339</v>
      </c>
      <c r="K81" s="897">
        <f>I81-J81</f>
        <v>12196</v>
      </c>
    </row>
    <row r="82" spans="1:11" ht="15" customHeight="1">
      <c r="A82" s="916" t="s">
        <v>109</v>
      </c>
      <c r="B82" s="896" t="s">
        <v>134</v>
      </c>
      <c r="C82" s="797">
        <f>'buget 2025'!G709</f>
        <v>1235.19</v>
      </c>
      <c r="D82" s="797">
        <f>SUM(Sheet2!D82:E82)</f>
        <v>0</v>
      </c>
      <c r="E82" s="797">
        <f>SUM(Sheet2!J82:N82)</f>
        <v>0</v>
      </c>
      <c r="F82" s="797"/>
      <c r="G82" s="797"/>
      <c r="H82" s="797"/>
      <c r="I82" s="797">
        <f>SUM(C82,D82,E82,F82,G82,H82)</f>
        <v>1235.19</v>
      </c>
      <c r="J82" s="797"/>
      <c r="K82" s="897">
        <f>I82-J82</f>
        <v>1235.19</v>
      </c>
    </row>
    <row r="83" spans="1:11" ht="15" customHeight="1">
      <c r="A83" s="919" t="s">
        <v>135</v>
      </c>
      <c r="B83" s="902" t="s">
        <v>136</v>
      </c>
      <c r="C83" s="903">
        <f t="shared" ref="C83:K83" si="24">SUM(C84:C85)</f>
        <v>56127.5</v>
      </c>
      <c r="D83" s="903">
        <f t="shared" si="24"/>
        <v>0</v>
      </c>
      <c r="E83" s="903">
        <f t="shared" si="24"/>
        <v>712787.72</v>
      </c>
      <c r="F83" s="903">
        <f t="shared" si="24"/>
        <v>0</v>
      </c>
      <c r="G83" s="903">
        <f t="shared" si="24"/>
        <v>3815.2</v>
      </c>
      <c r="H83" s="903">
        <f t="shared" si="24"/>
        <v>0</v>
      </c>
      <c r="I83" s="903">
        <f t="shared" si="24"/>
        <v>772730.41999999993</v>
      </c>
      <c r="J83" s="903">
        <f t="shared" si="24"/>
        <v>11500</v>
      </c>
      <c r="K83" s="904">
        <f t="shared" si="24"/>
        <v>761230.41999999993</v>
      </c>
    </row>
    <row r="84" spans="1:11" ht="15" customHeight="1">
      <c r="A84" s="916" t="s">
        <v>107</v>
      </c>
      <c r="B84" s="896" t="s">
        <v>137</v>
      </c>
      <c r="C84" s="797">
        <f>'buget 2025'!G767</f>
        <v>6500</v>
      </c>
      <c r="D84" s="797">
        <f>SUM(Sheet2!D84:E84)</f>
        <v>0</v>
      </c>
      <c r="E84" s="797">
        <f>SUM(Sheet2!J84:N84)</f>
        <v>647804.07999999996</v>
      </c>
      <c r="F84" s="797"/>
      <c r="G84" s="797"/>
      <c r="H84" s="797"/>
      <c r="I84" s="797">
        <f>SUM(C84,D84,E84,F84,G84,H84)</f>
        <v>654304.07999999996</v>
      </c>
      <c r="J84" s="797">
        <f>'buget 2025'!G770+'buget 2025'!G776+'buget 2025'!G779</f>
        <v>6500</v>
      </c>
      <c r="K84" s="897">
        <f>I84-J84</f>
        <v>647804.07999999996</v>
      </c>
    </row>
    <row r="85" spans="1:11" ht="15" customHeight="1">
      <c r="A85" s="916" t="s">
        <v>109</v>
      </c>
      <c r="B85" s="896" t="s">
        <v>138</v>
      </c>
      <c r="C85" s="797">
        <f>'buget 2025'!G768</f>
        <v>49627.5</v>
      </c>
      <c r="D85" s="797">
        <f>SUM(Sheet2!D85:E85)</f>
        <v>0</v>
      </c>
      <c r="E85" s="797">
        <f>SUM(Sheet2!J85:N85)</f>
        <v>64983.639999999992</v>
      </c>
      <c r="F85" s="797"/>
      <c r="G85" s="920">
        <v>3815.2</v>
      </c>
      <c r="H85" s="920"/>
      <c r="I85" s="797">
        <f>SUM(C85,D85,E85,F85,G85,H85)</f>
        <v>118426.33999999998</v>
      </c>
      <c r="J85" s="797">
        <f>'buget 2025'!G771+'buget 2025'!G777+'buget 2025'!G780</f>
        <v>5000</v>
      </c>
      <c r="K85" s="897">
        <f>I85-J85</f>
        <v>113426.33999999998</v>
      </c>
    </row>
    <row r="86" spans="1:11" ht="15" customHeight="1">
      <c r="A86" s="919" t="s">
        <v>139</v>
      </c>
      <c r="B86" s="902" t="s">
        <v>140</v>
      </c>
      <c r="C86" s="903">
        <f t="shared" ref="C86:K86" si="25">SUM(C87:C88)</f>
        <v>31876.7</v>
      </c>
      <c r="D86" s="903">
        <f t="shared" si="25"/>
        <v>22178</v>
      </c>
      <c r="E86" s="903">
        <f t="shared" si="25"/>
        <v>0</v>
      </c>
      <c r="F86" s="903">
        <f t="shared" si="25"/>
        <v>0</v>
      </c>
      <c r="G86" s="903">
        <f t="shared" si="25"/>
        <v>2300</v>
      </c>
      <c r="H86" s="903">
        <f t="shared" si="25"/>
        <v>0</v>
      </c>
      <c r="I86" s="903">
        <f t="shared" si="25"/>
        <v>56354.7</v>
      </c>
      <c r="J86" s="903">
        <f t="shared" si="25"/>
        <v>19410</v>
      </c>
      <c r="K86" s="904">
        <f t="shared" si="25"/>
        <v>36944.699999999997</v>
      </c>
    </row>
    <row r="87" spans="1:11" ht="15" customHeight="1">
      <c r="A87" s="916" t="s">
        <v>107</v>
      </c>
      <c r="B87" s="896" t="s">
        <v>141</v>
      </c>
      <c r="C87" s="797">
        <f>'buget 2025'!G829</f>
        <v>23356.2</v>
      </c>
      <c r="D87" s="797">
        <f>SUM(Sheet2!D87:E87)</f>
        <v>20893</v>
      </c>
      <c r="E87" s="797">
        <f>SUM(Sheet2!J87:N87)</f>
        <v>0</v>
      </c>
      <c r="F87" s="797"/>
      <c r="G87" s="797"/>
      <c r="H87" s="797"/>
      <c r="I87" s="797">
        <f>SUM(C87,D87,E87,F87,G87,H87)</f>
        <v>44249.2</v>
      </c>
      <c r="J87" s="797">
        <f>'buget 2025'!G839+'buget 2025'!G845+'buget 2025'!G851+'buget 2025'!G860</f>
        <v>18860</v>
      </c>
      <c r="K87" s="897">
        <f>I87-J87</f>
        <v>25389.199999999997</v>
      </c>
    </row>
    <row r="88" spans="1:11" ht="15" customHeight="1">
      <c r="A88" s="916" t="s">
        <v>109</v>
      </c>
      <c r="B88" s="896" t="s">
        <v>142</v>
      </c>
      <c r="C88" s="797">
        <f>'buget 2025'!G830</f>
        <v>8520.5</v>
      </c>
      <c r="D88" s="797">
        <f>SUM(Sheet2!D88:E88)</f>
        <v>1285</v>
      </c>
      <c r="E88" s="797">
        <f>SUM(Sheet2!J88:N88)</f>
        <v>0</v>
      </c>
      <c r="F88" s="797"/>
      <c r="G88" s="920">
        <v>2300</v>
      </c>
      <c r="H88" s="797"/>
      <c r="I88" s="797">
        <f>SUM(C88,D88,E88,F88,G88,H88)</f>
        <v>12105.5</v>
      </c>
      <c r="J88" s="797">
        <f>'buget 2025'!G840+'buget 2025'!G846+'buget 2025'!G852+'buget 2025'!G861</f>
        <v>550</v>
      </c>
      <c r="K88" s="897">
        <f>I88-J88</f>
        <v>11555.5</v>
      </c>
    </row>
    <row r="89" spans="1:11" ht="15" customHeight="1">
      <c r="A89" s="919" t="s">
        <v>143</v>
      </c>
      <c r="B89" s="902" t="s">
        <v>144</v>
      </c>
      <c r="C89" s="903">
        <f t="shared" ref="C89:K89" si="26">SUM(C90:C91)</f>
        <v>89515.9</v>
      </c>
      <c r="D89" s="903">
        <f t="shared" si="26"/>
        <v>0</v>
      </c>
      <c r="E89" s="903">
        <f t="shared" si="26"/>
        <v>0</v>
      </c>
      <c r="F89" s="903">
        <f t="shared" si="26"/>
        <v>0</v>
      </c>
      <c r="G89" s="903">
        <f t="shared" si="26"/>
        <v>0</v>
      </c>
      <c r="H89" s="903">
        <f t="shared" si="26"/>
        <v>0</v>
      </c>
      <c r="I89" s="903">
        <f t="shared" si="26"/>
        <v>89515.9</v>
      </c>
      <c r="J89" s="903">
        <f t="shared" si="26"/>
        <v>0</v>
      </c>
      <c r="K89" s="904">
        <f t="shared" si="26"/>
        <v>89515.9</v>
      </c>
    </row>
    <row r="90" spans="1:11" ht="15" customHeight="1">
      <c r="A90" s="916" t="s">
        <v>107</v>
      </c>
      <c r="B90" s="896" t="s">
        <v>145</v>
      </c>
      <c r="C90" s="797">
        <f>'buget 2025'!G903</f>
        <v>87526.9</v>
      </c>
      <c r="D90" s="797">
        <f>SUM(Sheet2!D90:E90)</f>
        <v>0</v>
      </c>
      <c r="E90" s="797">
        <f>SUM(Sheet2!J90:N90)</f>
        <v>0</v>
      </c>
      <c r="F90" s="797"/>
      <c r="G90" s="797"/>
      <c r="H90" s="797"/>
      <c r="I90" s="797">
        <f>SUM(C90,D90,E90,F90,G90,H90)</f>
        <v>87526.9</v>
      </c>
      <c r="J90" s="797">
        <f>Sheet2!P39</f>
        <v>0</v>
      </c>
      <c r="K90" s="897">
        <f>I90-J90</f>
        <v>87526.9</v>
      </c>
    </row>
    <row r="91" spans="1:11" ht="15" customHeight="1">
      <c r="A91" s="916" t="s">
        <v>109</v>
      </c>
      <c r="B91" s="896" t="s">
        <v>146</v>
      </c>
      <c r="C91" s="797">
        <f>'buget 2025'!G904</f>
        <v>1989</v>
      </c>
      <c r="D91" s="797">
        <f>SUM(Sheet2!D91:E91)</f>
        <v>0</v>
      </c>
      <c r="E91" s="797">
        <f>SUM(Sheet2!J91:N91)</f>
        <v>0</v>
      </c>
      <c r="F91" s="797"/>
      <c r="G91" s="797"/>
      <c r="H91" s="797"/>
      <c r="I91" s="797">
        <f>SUM(C91,D91,E91,F91,G91,H91)</f>
        <v>1989</v>
      </c>
      <c r="J91" s="797">
        <f>Sheet2!P40</f>
        <v>0</v>
      </c>
      <c r="K91" s="897">
        <f>I91-J91</f>
        <v>1989</v>
      </c>
    </row>
    <row r="92" spans="1:11" ht="15" customHeight="1">
      <c r="A92" s="919" t="s">
        <v>147</v>
      </c>
      <c r="B92" s="902" t="s">
        <v>148</v>
      </c>
      <c r="C92" s="903">
        <f t="shared" ref="C92:K92" si="27">SUM(C93:C94)</f>
        <v>2743.4</v>
      </c>
      <c r="D92" s="903">
        <f t="shared" si="27"/>
        <v>0</v>
      </c>
      <c r="E92" s="903">
        <f t="shared" si="27"/>
        <v>0</v>
      </c>
      <c r="F92" s="903">
        <f t="shared" si="27"/>
        <v>0</v>
      </c>
      <c r="G92" s="903">
        <f t="shared" si="27"/>
        <v>0</v>
      </c>
      <c r="H92" s="903">
        <f t="shared" si="27"/>
        <v>0</v>
      </c>
      <c r="I92" s="903">
        <f t="shared" si="27"/>
        <v>2743.4</v>
      </c>
      <c r="J92" s="903">
        <f t="shared" si="27"/>
        <v>0</v>
      </c>
      <c r="K92" s="904">
        <f t="shared" si="27"/>
        <v>2743.4</v>
      </c>
    </row>
    <row r="93" spans="1:11" ht="15" customHeight="1">
      <c r="A93" s="916" t="s">
        <v>107</v>
      </c>
      <c r="B93" s="896" t="s">
        <v>149</v>
      </c>
      <c r="C93" s="797">
        <f>'buget 2025'!G938</f>
        <v>0</v>
      </c>
      <c r="D93" s="797">
        <f>SUM(Sheet2!D93:E93)</f>
        <v>0</v>
      </c>
      <c r="E93" s="797">
        <f>SUM(Sheet2!J93:N93)</f>
        <v>0</v>
      </c>
      <c r="F93" s="797"/>
      <c r="G93" s="797"/>
      <c r="H93" s="797"/>
      <c r="I93" s="797">
        <f>SUM(C93,D93,E93,F93,G93,H93)</f>
        <v>0</v>
      </c>
      <c r="J93" s="797"/>
      <c r="K93" s="897">
        <f>I93-J93</f>
        <v>0</v>
      </c>
    </row>
    <row r="94" spans="1:11" ht="15" customHeight="1">
      <c r="A94" s="916" t="s">
        <v>109</v>
      </c>
      <c r="B94" s="896" t="s">
        <v>150</v>
      </c>
      <c r="C94" s="797">
        <f>'buget 2025'!G939</f>
        <v>2743.4</v>
      </c>
      <c r="D94" s="797">
        <f>SUM(Sheet2!D94:E94)</f>
        <v>0</v>
      </c>
      <c r="E94" s="797">
        <f>SUM(Sheet2!J94:N94)</f>
        <v>0</v>
      </c>
      <c r="F94" s="797"/>
      <c r="G94" s="797"/>
      <c r="H94" s="797"/>
      <c r="I94" s="797">
        <f>SUM(C94,D94,E94,F94,G94,H94)</f>
        <v>2743.4</v>
      </c>
      <c r="J94" s="797"/>
      <c r="K94" s="897">
        <f>I94-J94</f>
        <v>2743.4</v>
      </c>
    </row>
    <row r="95" spans="1:11" ht="15" customHeight="1">
      <c r="A95" s="919" t="s">
        <v>151</v>
      </c>
      <c r="B95" s="902" t="s">
        <v>152</v>
      </c>
      <c r="C95" s="903">
        <f t="shared" ref="C95:K95" si="28">SUM(C96:C97)</f>
        <v>48261</v>
      </c>
      <c r="D95" s="903">
        <f t="shared" si="28"/>
        <v>0</v>
      </c>
      <c r="E95" s="903">
        <f t="shared" si="28"/>
        <v>0</v>
      </c>
      <c r="F95" s="903">
        <f t="shared" si="28"/>
        <v>0</v>
      </c>
      <c r="G95" s="903">
        <f t="shared" si="28"/>
        <v>0</v>
      </c>
      <c r="H95" s="903">
        <f t="shared" si="28"/>
        <v>0</v>
      </c>
      <c r="I95" s="903">
        <f t="shared" si="28"/>
        <v>48261</v>
      </c>
      <c r="J95" s="903">
        <f t="shared" si="28"/>
        <v>300</v>
      </c>
      <c r="K95" s="904">
        <f t="shared" si="28"/>
        <v>47961</v>
      </c>
    </row>
    <row r="96" spans="1:11" ht="15" customHeight="1">
      <c r="A96" s="916" t="s">
        <v>107</v>
      </c>
      <c r="B96" s="896" t="s">
        <v>153</v>
      </c>
      <c r="C96" s="797">
        <f>'buget 2025'!G976</f>
        <v>0</v>
      </c>
      <c r="D96" s="797">
        <f>SUM(Sheet2!D96:E96)</f>
        <v>0</v>
      </c>
      <c r="E96" s="797">
        <f>SUM(Sheet2!J96:N96)</f>
        <v>0</v>
      </c>
      <c r="F96" s="797"/>
      <c r="G96" s="797"/>
      <c r="H96" s="797"/>
      <c r="I96" s="797">
        <f>SUM(C96,D96,E96,F96,G96,H96)</f>
        <v>0</v>
      </c>
      <c r="J96" s="797"/>
      <c r="K96" s="897">
        <f>I96-J96</f>
        <v>0</v>
      </c>
    </row>
    <row r="97" spans="1:11" ht="15" customHeight="1">
      <c r="A97" s="916" t="s">
        <v>109</v>
      </c>
      <c r="B97" s="896" t="s">
        <v>154</v>
      </c>
      <c r="C97" s="797">
        <f>'buget 2025'!G977</f>
        <v>48261</v>
      </c>
      <c r="D97" s="797">
        <f>SUM(Sheet2!D97:E97)</f>
        <v>0</v>
      </c>
      <c r="E97" s="797">
        <f>SUM(Sheet2!J97:N97)</f>
        <v>0</v>
      </c>
      <c r="F97" s="797"/>
      <c r="G97" s="797"/>
      <c r="H97" s="797"/>
      <c r="I97" s="797">
        <f>SUM(C97,D97,E97,F97,G97,H97)</f>
        <v>48261</v>
      </c>
      <c r="J97" s="797">
        <f>'buget 2025'!G992</f>
        <v>300</v>
      </c>
      <c r="K97" s="897">
        <f>I97-J97</f>
        <v>47961</v>
      </c>
    </row>
    <row r="98" spans="1:11" ht="30" customHeight="1">
      <c r="A98" s="919" t="s">
        <v>155</v>
      </c>
      <c r="B98" s="902" t="s">
        <v>156</v>
      </c>
      <c r="C98" s="903">
        <f t="shared" ref="C98:K98" si="29">SUM(C99:C100)</f>
        <v>0</v>
      </c>
      <c r="D98" s="903">
        <f t="shared" si="29"/>
        <v>0</v>
      </c>
      <c r="E98" s="903">
        <f t="shared" si="29"/>
        <v>0</v>
      </c>
      <c r="F98" s="903">
        <f t="shared" si="29"/>
        <v>0</v>
      </c>
      <c r="G98" s="903">
        <f t="shared" si="29"/>
        <v>0</v>
      </c>
      <c r="H98" s="903">
        <f t="shared" si="29"/>
        <v>0</v>
      </c>
      <c r="I98" s="903">
        <f t="shared" si="29"/>
        <v>0</v>
      </c>
      <c r="J98" s="903">
        <f t="shared" si="29"/>
        <v>0</v>
      </c>
      <c r="K98" s="904">
        <f t="shared" si="29"/>
        <v>0</v>
      </c>
    </row>
    <row r="99" spans="1:11" ht="15" customHeight="1">
      <c r="A99" s="916" t="s">
        <v>107</v>
      </c>
      <c r="B99" s="896" t="s">
        <v>157</v>
      </c>
      <c r="C99" s="797"/>
      <c r="D99" s="797">
        <f>SUM(Sheet2!D99:E99)</f>
        <v>0</v>
      </c>
      <c r="E99" s="797">
        <f>SUM(Sheet2!J99:N99)</f>
        <v>0</v>
      </c>
      <c r="F99" s="797"/>
      <c r="G99" s="797"/>
      <c r="H99" s="797"/>
      <c r="I99" s="797">
        <f>SUM(C99,D99,E99,F99,G99,H99)</f>
        <v>0</v>
      </c>
      <c r="J99" s="797"/>
      <c r="K99" s="897">
        <f>I99-J99</f>
        <v>0</v>
      </c>
    </row>
    <row r="100" spans="1:11" ht="15" customHeight="1">
      <c r="A100" s="916" t="s">
        <v>109</v>
      </c>
      <c r="B100" s="896" t="s">
        <v>158</v>
      </c>
      <c r="C100" s="797"/>
      <c r="D100" s="797">
        <f>SUM(Sheet2!D100:E100)</f>
        <v>0</v>
      </c>
      <c r="E100" s="797">
        <f>SUM(Sheet2!J100:N100)</f>
        <v>0</v>
      </c>
      <c r="F100" s="797"/>
      <c r="G100" s="797"/>
      <c r="H100" s="797"/>
      <c r="I100" s="797">
        <f>SUM(C100,D100,E100,F100,G100,H100)</f>
        <v>0</v>
      </c>
      <c r="J100" s="797"/>
      <c r="K100" s="897">
        <f>I100-J100</f>
        <v>0</v>
      </c>
    </row>
    <row r="101" spans="1:11" ht="15" customHeight="1">
      <c r="A101" s="919" t="s">
        <v>159</v>
      </c>
      <c r="B101" s="902" t="s">
        <v>160</v>
      </c>
      <c r="C101" s="903">
        <f t="shared" ref="C101:K101" si="30">SUM(C102:C103)</f>
        <v>0</v>
      </c>
      <c r="D101" s="903">
        <f t="shared" si="30"/>
        <v>0</v>
      </c>
      <c r="E101" s="903">
        <f t="shared" si="30"/>
        <v>0</v>
      </c>
      <c r="F101" s="903">
        <f t="shared" si="30"/>
        <v>0</v>
      </c>
      <c r="G101" s="903">
        <f t="shared" si="30"/>
        <v>0</v>
      </c>
      <c r="H101" s="903">
        <f t="shared" si="30"/>
        <v>0</v>
      </c>
      <c r="I101" s="903">
        <f t="shared" si="30"/>
        <v>0</v>
      </c>
      <c r="J101" s="903">
        <f t="shared" si="30"/>
        <v>0</v>
      </c>
      <c r="K101" s="904">
        <f t="shared" si="30"/>
        <v>0</v>
      </c>
    </row>
    <row r="102" spans="1:11" ht="15" customHeight="1">
      <c r="A102" s="916" t="s">
        <v>107</v>
      </c>
      <c r="B102" s="896" t="s">
        <v>161</v>
      </c>
      <c r="C102" s="797"/>
      <c r="D102" s="797">
        <f>SUM(Sheet2!D102:E102)</f>
        <v>0</v>
      </c>
      <c r="E102" s="797">
        <f>SUM(Sheet2!J102:N102)</f>
        <v>0</v>
      </c>
      <c r="F102" s="797"/>
      <c r="G102" s="797"/>
      <c r="H102" s="797"/>
      <c r="I102" s="797">
        <f>SUM(C102,D102,E102,F102,G102,H102)</f>
        <v>0</v>
      </c>
      <c r="J102" s="797"/>
      <c r="K102" s="897">
        <f>I102-J102</f>
        <v>0</v>
      </c>
    </row>
    <row r="103" spans="1:11" ht="15" customHeight="1">
      <c r="A103" s="916" t="s">
        <v>109</v>
      </c>
      <c r="B103" s="896" t="s">
        <v>162</v>
      </c>
      <c r="C103" s="797"/>
      <c r="D103" s="797">
        <f>SUM(Sheet2!D103:E103)</f>
        <v>0</v>
      </c>
      <c r="E103" s="797">
        <f>SUM(Sheet2!J103:N103)</f>
        <v>0</v>
      </c>
      <c r="F103" s="797"/>
      <c r="G103" s="797"/>
      <c r="H103" s="797"/>
      <c r="I103" s="797">
        <f>SUM(C103,D103,E103,F103,G103,H103)</f>
        <v>0</v>
      </c>
      <c r="J103" s="797"/>
      <c r="K103" s="897">
        <f>I103-J103</f>
        <v>0</v>
      </c>
    </row>
    <row r="104" spans="1:11" ht="15" customHeight="1">
      <c r="A104" s="919" t="s">
        <v>163</v>
      </c>
      <c r="B104" s="902" t="s">
        <v>164</v>
      </c>
      <c r="C104" s="903">
        <f t="shared" ref="C104:K104" si="31">SUM(C105:C106)</f>
        <v>0</v>
      </c>
      <c r="D104" s="903">
        <f t="shared" si="31"/>
        <v>0</v>
      </c>
      <c r="E104" s="903">
        <f t="shared" si="31"/>
        <v>0</v>
      </c>
      <c r="F104" s="903">
        <f t="shared" si="31"/>
        <v>0</v>
      </c>
      <c r="G104" s="903">
        <f t="shared" si="31"/>
        <v>0</v>
      </c>
      <c r="H104" s="903">
        <f t="shared" si="31"/>
        <v>0</v>
      </c>
      <c r="I104" s="903">
        <f t="shared" si="31"/>
        <v>0</v>
      </c>
      <c r="J104" s="903">
        <f t="shared" si="31"/>
        <v>0</v>
      </c>
      <c r="K104" s="904">
        <f t="shared" si="31"/>
        <v>0</v>
      </c>
    </row>
    <row r="105" spans="1:11" ht="15" customHeight="1">
      <c r="A105" s="916" t="s">
        <v>107</v>
      </c>
      <c r="B105" s="896" t="s">
        <v>165</v>
      </c>
      <c r="C105" s="797">
        <f>'buget 2025'!F979</f>
        <v>0</v>
      </c>
      <c r="D105" s="797">
        <f>SUM(Sheet2!D105:E105)</f>
        <v>0</v>
      </c>
      <c r="E105" s="797">
        <f>SUM(Sheet2!J105:N105)</f>
        <v>0</v>
      </c>
      <c r="F105" s="797"/>
      <c r="G105" s="797"/>
      <c r="H105" s="797"/>
      <c r="I105" s="797">
        <f>SUM(C105,D105,E105,F105,G105,H105)</f>
        <v>0</v>
      </c>
      <c r="J105" s="797">
        <f>Sheet2!J39</f>
        <v>0</v>
      </c>
      <c r="K105" s="897">
        <f>I105-J105</f>
        <v>0</v>
      </c>
    </row>
    <row r="106" spans="1:11" ht="15" customHeight="1">
      <c r="A106" s="916" t="s">
        <v>109</v>
      </c>
      <c r="B106" s="896" t="s">
        <v>166</v>
      </c>
      <c r="C106" s="797">
        <v>0</v>
      </c>
      <c r="D106" s="797">
        <f>SUM(Sheet2!D106:E106)</f>
        <v>0</v>
      </c>
      <c r="E106" s="797">
        <f>SUM(Sheet2!J106:N106)</f>
        <v>0</v>
      </c>
      <c r="F106" s="797"/>
      <c r="G106" s="797"/>
      <c r="H106" s="797"/>
      <c r="I106" s="797">
        <f>SUM(C106,D106,E106,F106,G106,H106)</f>
        <v>0</v>
      </c>
      <c r="J106" s="797">
        <f>Sheet2!J40</f>
        <v>0</v>
      </c>
      <c r="K106" s="897">
        <f>I106-J106</f>
        <v>0</v>
      </c>
    </row>
    <row r="107" spans="1:11" ht="15" customHeight="1">
      <c r="A107" s="919" t="s">
        <v>167</v>
      </c>
      <c r="B107" s="902" t="s">
        <v>168</v>
      </c>
      <c r="C107" s="903">
        <f t="shared" ref="C107:K107" si="32">SUM(C108:C109)</f>
        <v>172216.73</v>
      </c>
      <c r="D107" s="903">
        <f t="shared" si="32"/>
        <v>0</v>
      </c>
      <c r="E107" s="903">
        <f t="shared" si="32"/>
        <v>0</v>
      </c>
      <c r="F107" s="903">
        <f t="shared" si="32"/>
        <v>0</v>
      </c>
      <c r="G107" s="903">
        <f t="shared" si="32"/>
        <v>0</v>
      </c>
      <c r="H107" s="903">
        <f t="shared" si="32"/>
        <v>0</v>
      </c>
      <c r="I107" s="903">
        <f t="shared" si="32"/>
        <v>172216.73</v>
      </c>
      <c r="J107" s="903">
        <f t="shared" si="32"/>
        <v>15248.1</v>
      </c>
      <c r="K107" s="904">
        <f t="shared" si="32"/>
        <v>156968.63</v>
      </c>
    </row>
    <row r="108" spans="1:11" ht="15" customHeight="1">
      <c r="A108" s="916" t="s">
        <v>107</v>
      </c>
      <c r="B108" s="896" t="s">
        <v>169</v>
      </c>
      <c r="C108" s="797">
        <f>'buget 2025'!G1002</f>
        <v>32162</v>
      </c>
      <c r="D108" s="797">
        <f>SUM(Sheet2!D108:E108)</f>
        <v>0</v>
      </c>
      <c r="E108" s="797">
        <f>SUM(Sheet2!J108:N108)</f>
        <v>0</v>
      </c>
      <c r="F108" s="797"/>
      <c r="G108" s="797"/>
      <c r="H108" s="797"/>
      <c r="I108" s="797">
        <f>SUM(C108,D108,E108,F108,G108,H108)</f>
        <v>32162</v>
      </c>
      <c r="J108" s="797">
        <f>'buget 2025'!G1035+'buget 2025'!G1038</f>
        <v>11400</v>
      </c>
      <c r="K108" s="897">
        <f>I108-J108</f>
        <v>20762</v>
      </c>
    </row>
    <row r="109" spans="1:11" ht="15" customHeight="1">
      <c r="A109" s="916" t="s">
        <v>109</v>
      </c>
      <c r="B109" s="896" t="s">
        <v>170</v>
      </c>
      <c r="C109" s="797">
        <f>'buget 2025'!G1003</f>
        <v>140054.73000000001</v>
      </c>
      <c r="D109" s="797">
        <f>SUM(Sheet2!D109:E109)</f>
        <v>0</v>
      </c>
      <c r="E109" s="797">
        <f>SUM(Sheet2!J109:N109)</f>
        <v>0</v>
      </c>
      <c r="F109" s="797"/>
      <c r="G109" s="920"/>
      <c r="H109" s="797"/>
      <c r="I109" s="797">
        <f>SUM(C109,D109,E109,F109,G109,H109)</f>
        <v>140054.73000000001</v>
      </c>
      <c r="J109" s="797">
        <f>'buget 2025'!G1036+'buget 2025'!G1039</f>
        <v>3848.1</v>
      </c>
      <c r="K109" s="897">
        <f>I109-J109</f>
        <v>136206.63</v>
      </c>
    </row>
    <row r="110" spans="1:11" ht="15" customHeight="1">
      <c r="A110" s="919" t="s">
        <v>171</v>
      </c>
      <c r="B110" s="902" t="s">
        <v>172</v>
      </c>
      <c r="C110" s="903">
        <f t="shared" ref="C110:K110" si="33">SUM(C111:C112)</f>
        <v>0</v>
      </c>
      <c r="D110" s="903">
        <f t="shared" si="33"/>
        <v>0</v>
      </c>
      <c r="E110" s="903">
        <f t="shared" si="33"/>
        <v>0</v>
      </c>
      <c r="F110" s="903">
        <f t="shared" si="33"/>
        <v>0</v>
      </c>
      <c r="G110" s="903">
        <f t="shared" si="33"/>
        <v>0</v>
      </c>
      <c r="H110" s="903">
        <f t="shared" si="33"/>
        <v>0</v>
      </c>
      <c r="I110" s="903">
        <f t="shared" si="33"/>
        <v>0</v>
      </c>
      <c r="J110" s="903">
        <f t="shared" si="33"/>
        <v>0</v>
      </c>
      <c r="K110" s="904">
        <f t="shared" si="33"/>
        <v>0</v>
      </c>
    </row>
    <row r="111" spans="1:11" ht="15" customHeight="1">
      <c r="A111" s="916" t="s">
        <v>107</v>
      </c>
      <c r="B111" s="896" t="s">
        <v>173</v>
      </c>
      <c r="C111" s="797">
        <f>'buget 2025'!G1041</f>
        <v>0</v>
      </c>
      <c r="D111" s="797">
        <f>SUM(Sheet2!D111:E111)</f>
        <v>0</v>
      </c>
      <c r="E111" s="797">
        <f>SUM(Sheet2!J111:N111)</f>
        <v>0</v>
      </c>
      <c r="F111" s="797"/>
      <c r="G111" s="797"/>
      <c r="H111" s="797"/>
      <c r="I111" s="797">
        <f>SUM(C111,D111,E111,F111,G111,H111)</f>
        <v>0</v>
      </c>
      <c r="J111" s="797"/>
      <c r="K111" s="897">
        <f>I111-J111</f>
        <v>0</v>
      </c>
    </row>
    <row r="112" spans="1:11" ht="15" customHeight="1">
      <c r="A112" s="921" t="s">
        <v>109</v>
      </c>
      <c r="B112" s="922" t="s">
        <v>174</v>
      </c>
      <c r="C112" s="923">
        <f>'buget 2025'!G1042</f>
        <v>0</v>
      </c>
      <c r="D112" s="923">
        <f>SUM(Sheet2!D112:E112)</f>
        <v>0</v>
      </c>
      <c r="E112" s="923">
        <f>SUM(Sheet2!J112:N112)</f>
        <v>0</v>
      </c>
      <c r="F112" s="923"/>
      <c r="G112" s="923"/>
      <c r="H112" s="923"/>
      <c r="I112" s="923">
        <f>SUM(C112,D112,E112,F112,G112,H112)</f>
        <v>0</v>
      </c>
      <c r="J112" s="923"/>
      <c r="K112" s="924">
        <f>I112-J112</f>
        <v>0</v>
      </c>
    </row>
    <row r="113" spans="1:11" ht="18" customHeight="1">
      <c r="A113" s="862" t="s">
        <v>1005</v>
      </c>
      <c r="B113" s="862"/>
      <c r="C113" s="925"/>
      <c r="D113" s="925"/>
      <c r="E113" s="925"/>
      <c r="F113" s="925"/>
      <c r="G113" s="925"/>
      <c r="H113" s="925"/>
      <c r="I113" s="925"/>
      <c r="J113" s="925"/>
      <c r="K113" s="925"/>
    </row>
    <row r="114" spans="1:11" ht="3" customHeight="1">
      <c r="A114" s="931"/>
      <c r="B114" s="930"/>
      <c r="C114" s="930"/>
      <c r="D114" s="930"/>
      <c r="E114" s="930"/>
      <c r="F114" s="930"/>
      <c r="G114" s="930"/>
      <c r="H114" s="930"/>
      <c r="I114" s="930"/>
      <c r="J114" s="930"/>
      <c r="K114" s="859"/>
    </row>
    <row r="115" spans="1:11" ht="15.75" customHeight="1">
      <c r="A115" s="859" t="s">
        <v>176</v>
      </c>
      <c r="K115" s="859"/>
    </row>
    <row r="116" spans="1:11" ht="15.75" customHeight="1">
      <c r="A116" s="926" t="s">
        <v>177</v>
      </c>
      <c r="K116" s="859"/>
    </row>
    <row r="117" spans="1:11" ht="15.75" customHeight="1">
      <c r="A117" s="926"/>
      <c r="K117" s="859"/>
    </row>
    <row r="118" spans="1:11" ht="15.75" customHeight="1">
      <c r="A118" s="858"/>
      <c r="B118" s="67" t="s">
        <v>178</v>
      </c>
      <c r="C118" s="786"/>
      <c r="D118" s="858"/>
      <c r="E118" s="786"/>
      <c r="F118" s="786"/>
      <c r="G118" s="786"/>
      <c r="H118" s="786"/>
      <c r="I118" s="786" t="str">
        <f>IF($L$1="proiect","DIRECTOR EXECUTIV,","SECRETAR GENERAL AL JUDEŢULUI,")</f>
        <v>DIRECTOR EXECUTIV,</v>
      </c>
      <c r="J118" s="786"/>
      <c r="K118" s="786"/>
    </row>
    <row r="119" spans="1:11" ht="15.75" customHeight="1">
      <c r="A119" s="859"/>
      <c r="B119" s="927" t="s">
        <v>179</v>
      </c>
      <c r="D119" s="859"/>
      <c r="I119" s="61" t="str">
        <f>IF($L$1="proiect","Balogh Arnold István","Crasnai Mihaela Elena Ana")</f>
        <v>Balogh Arnold István</v>
      </c>
    </row>
    <row r="120" spans="1:11" ht="15.75" customHeight="1">
      <c r="A120" s="926"/>
      <c r="I120" s="928"/>
      <c r="J120" s="928"/>
      <c r="K120" s="928"/>
    </row>
    <row r="121" spans="1:11" ht="15.75" customHeight="1">
      <c r="A121" s="926"/>
      <c r="I121" s="78"/>
      <c r="J121" s="928"/>
      <c r="K121" s="928"/>
    </row>
    <row r="122" spans="1:11" ht="15.75" customHeight="1">
      <c r="A122" s="926"/>
      <c r="I122" s="786" t="str">
        <f>IF($L$1="proiect","ŞEF SERVICIU,"," ")</f>
        <v>ŞEF SERVICIU,</v>
      </c>
      <c r="J122" s="786"/>
      <c r="K122" s="786"/>
    </row>
    <row r="123" spans="1:11" ht="15.75" customHeight="1">
      <c r="A123" s="790" t="s">
        <v>180</v>
      </c>
      <c r="I123" s="61" t="str">
        <f>IF($L$1="proiect","Sorana Czumbil"," ")</f>
        <v>Sorana Czumbil</v>
      </c>
    </row>
    <row r="124" spans="1:11" ht="15.75" customHeight="1">
      <c r="A124" s="790" t="s">
        <v>181</v>
      </c>
      <c r="K124" s="859"/>
    </row>
  </sheetData>
  <mergeCells count="13">
    <mergeCell ref="A5:K5"/>
    <mergeCell ref="A114:J114"/>
    <mergeCell ref="B8:B16"/>
    <mergeCell ref="C8:C16"/>
    <mergeCell ref="D8:D16"/>
    <mergeCell ref="E8:E16"/>
    <mergeCell ref="F12:F15"/>
    <mergeCell ref="G12:G15"/>
    <mergeCell ref="H8:H16"/>
    <mergeCell ref="I8:I16"/>
    <mergeCell ref="J8:J16"/>
    <mergeCell ref="K8:K16"/>
    <mergeCell ref="F9:G11"/>
  </mergeCells>
  <printOptions horizontalCentered="1"/>
  <pageMargins left="0.70866141732283505" right="0.70866141732283505" top="0.55118110236220497" bottom="0.55118110236220497" header="0" footer="0"/>
  <pageSetup scale="70" orientation="landscape" r:id="rId1"/>
  <headerFoot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J1078"/>
  <sheetViews>
    <sheetView tabSelected="1" zoomScale="90" zoomScaleNormal="90" workbookViewId="0">
      <pane ySplit="10" topLeftCell="A521" activePane="bottomLeft" state="frozen"/>
      <selection pane="bottomLeft" activeCell="E1" sqref="E1:F1048576"/>
    </sheetView>
  </sheetViews>
  <sheetFormatPr defaultColWidth="14.42578125" defaultRowHeight="15" customHeight="1"/>
  <cols>
    <col min="1" max="1" width="3.42578125" style="61" customWidth="1"/>
    <col min="2" max="2" width="3.28515625" style="61" customWidth="1"/>
    <col min="3" max="3" width="53" style="61" customWidth="1"/>
    <col min="4" max="4" width="10.85546875" style="61" customWidth="1"/>
    <col min="5" max="5" width="11.7109375" style="61" hidden="1" customWidth="1"/>
    <col min="6" max="6" width="11.42578125" style="61" hidden="1" customWidth="1"/>
    <col min="7" max="7" width="15.85546875" customWidth="1"/>
    <col min="8" max="10" width="12.7109375" hidden="1" customWidth="1"/>
    <col min="11" max="11" width="9.140625" customWidth="1"/>
    <col min="12" max="12" width="10.5703125" customWidth="1"/>
    <col min="13" max="13" width="9.7109375" hidden="1" customWidth="1"/>
    <col min="14" max="14" width="37" hidden="1" customWidth="1"/>
    <col min="15" max="15" width="20" hidden="1" customWidth="1"/>
    <col min="16" max="16" width="50.28515625" hidden="1" customWidth="1"/>
    <col min="17" max="17" width="10.7109375" customWidth="1"/>
    <col min="18" max="36" width="50.28515625" customWidth="1"/>
  </cols>
  <sheetData>
    <row r="1" spans="1:36" ht="12.75" customHeight="1">
      <c r="A1" s="67" t="s">
        <v>0</v>
      </c>
      <c r="B1" s="68"/>
      <c r="D1" s="69"/>
      <c r="E1" s="70"/>
      <c r="F1" s="70"/>
      <c r="G1" s="71" t="s">
        <v>182</v>
      </c>
      <c r="H1" s="72"/>
      <c r="I1" s="72"/>
      <c r="J1" s="72"/>
      <c r="K1" s="11"/>
      <c r="L1" s="5" t="s">
        <v>2</v>
      </c>
      <c r="M1" s="5"/>
      <c r="N1" s="5"/>
      <c r="O1" s="5"/>
      <c r="P1" s="5"/>
      <c r="Q1" s="5"/>
      <c r="R1" s="5"/>
      <c r="S1" s="5"/>
      <c r="T1" s="5"/>
      <c r="U1" s="5"/>
      <c r="V1" s="5"/>
      <c r="W1" s="5"/>
      <c r="X1" s="5"/>
      <c r="Y1" s="5"/>
      <c r="Z1" s="5"/>
      <c r="AA1" s="5"/>
      <c r="AB1" s="5"/>
      <c r="AC1" s="5"/>
      <c r="AD1" s="5"/>
      <c r="AE1" s="5"/>
      <c r="AF1" s="5"/>
      <c r="AG1" s="5"/>
      <c r="AH1" s="5"/>
      <c r="AI1" s="5"/>
      <c r="AJ1" s="5"/>
    </row>
    <row r="2" spans="1:36" ht="12.75" customHeight="1">
      <c r="A2" s="67" t="s">
        <v>3</v>
      </c>
      <c r="B2" s="68"/>
      <c r="D2" s="69"/>
      <c r="E2" s="70"/>
      <c r="F2" s="70"/>
      <c r="G2" s="73" t="str">
        <f>IF($L$1="proiect","la Proiectul de hotărâre","la Hotărârea Consiliului Judeţean")</f>
        <v>la Proiectul de hotărâre</v>
      </c>
      <c r="H2" s="72"/>
      <c r="I2" s="72"/>
      <c r="J2" s="72"/>
      <c r="K2" s="5"/>
      <c r="L2" s="5">
        <v>451746.04999999993</v>
      </c>
      <c r="M2" s="5"/>
      <c r="N2" s="5"/>
      <c r="O2" s="5"/>
      <c r="P2" s="5"/>
      <c r="Q2" s="5"/>
      <c r="R2" s="5"/>
      <c r="S2" s="5"/>
      <c r="T2" s="5"/>
      <c r="U2" s="5"/>
      <c r="V2" s="5"/>
      <c r="W2" s="5"/>
      <c r="X2" s="5"/>
      <c r="Y2" s="5"/>
      <c r="Z2" s="5"/>
      <c r="AA2" s="5"/>
      <c r="AB2" s="5"/>
      <c r="AC2" s="5"/>
      <c r="AD2" s="5"/>
      <c r="AE2" s="5"/>
      <c r="AF2" s="5"/>
      <c r="AG2" s="5"/>
      <c r="AH2" s="5"/>
      <c r="AI2" s="5"/>
      <c r="AJ2" s="5"/>
    </row>
    <row r="3" spans="1:36" ht="12.75" customHeight="1">
      <c r="A3" s="67" t="s">
        <v>4</v>
      </c>
      <c r="B3" s="68"/>
      <c r="D3" s="69"/>
      <c r="E3" s="70"/>
      <c r="F3" s="70"/>
      <c r="G3" s="73" t="str">
        <f>IF($L$1="proiect","nr. _______/2025 ","Satu Mare nr. _____/2025")</f>
        <v xml:space="preserve">nr. _______/2025 </v>
      </c>
      <c r="H3" s="72"/>
      <c r="I3" s="72"/>
      <c r="J3" s="72"/>
      <c r="K3" s="5"/>
      <c r="L3" s="5"/>
      <c r="M3" s="5"/>
      <c r="N3" s="5"/>
      <c r="O3" s="5"/>
      <c r="P3" s="5"/>
      <c r="Q3" s="5"/>
      <c r="R3" s="5"/>
      <c r="S3" s="5"/>
      <c r="T3" s="5"/>
      <c r="U3" s="5"/>
      <c r="V3" s="5"/>
      <c r="W3" s="5"/>
      <c r="X3" s="5"/>
      <c r="Y3" s="5"/>
      <c r="Z3" s="5"/>
      <c r="AA3" s="5"/>
      <c r="AB3" s="5"/>
      <c r="AC3" s="5"/>
      <c r="AD3" s="5"/>
      <c r="AE3" s="5"/>
      <c r="AF3" s="5"/>
      <c r="AG3" s="5"/>
      <c r="AH3" s="5"/>
      <c r="AI3" s="5"/>
      <c r="AJ3" s="5"/>
    </row>
    <row r="4" spans="1:36" ht="12.75" customHeight="1">
      <c r="B4" s="68"/>
      <c r="D4" s="69"/>
      <c r="E4" s="70"/>
      <c r="F4" s="70"/>
      <c r="G4" s="74"/>
      <c r="H4" s="72"/>
      <c r="I4" s="72"/>
      <c r="J4" s="72"/>
      <c r="K4" s="5"/>
      <c r="L4" s="74">
        <f>L2-E10</f>
        <v>-184.87000000005355</v>
      </c>
      <c r="M4" s="5"/>
      <c r="N4" s="5"/>
      <c r="O4" s="5"/>
      <c r="P4" s="5"/>
      <c r="Q4" s="5"/>
      <c r="R4" s="5"/>
      <c r="S4" s="5"/>
      <c r="T4" s="5"/>
      <c r="U4" s="5"/>
      <c r="V4" s="5"/>
      <c r="W4" s="5"/>
      <c r="X4" s="5"/>
      <c r="Y4" s="5"/>
      <c r="Z4" s="5"/>
      <c r="AA4" s="5"/>
      <c r="AB4" s="5"/>
      <c r="AC4" s="5"/>
      <c r="AD4" s="5"/>
      <c r="AE4" s="5"/>
      <c r="AF4" s="5"/>
      <c r="AG4" s="5"/>
      <c r="AH4" s="5"/>
      <c r="AI4" s="5"/>
      <c r="AJ4" s="5"/>
    </row>
    <row r="5" spans="1:36" ht="12.75" customHeight="1">
      <c r="A5" s="954" t="s">
        <v>183</v>
      </c>
      <c r="B5" s="930"/>
      <c r="C5" s="930"/>
      <c r="D5" s="930"/>
      <c r="E5" s="930"/>
      <c r="F5" s="930"/>
      <c r="G5" s="953"/>
      <c r="H5" s="76"/>
      <c r="I5" s="76"/>
      <c r="J5" s="76"/>
      <c r="K5" s="5"/>
      <c r="L5" s="5"/>
      <c r="M5" s="5"/>
      <c r="N5" s="5"/>
      <c r="O5" s="5"/>
      <c r="P5" s="5"/>
      <c r="Q5" s="5"/>
      <c r="R5" s="5"/>
      <c r="S5" s="5"/>
      <c r="T5" s="5"/>
      <c r="U5" s="5"/>
      <c r="V5" s="5"/>
      <c r="W5" s="5"/>
      <c r="X5" s="5"/>
      <c r="Y5" s="5"/>
      <c r="Z5" s="5"/>
      <c r="AA5" s="5"/>
      <c r="AB5" s="5"/>
      <c r="AC5" s="5"/>
      <c r="AD5" s="5"/>
      <c r="AE5" s="5"/>
      <c r="AF5" s="5"/>
      <c r="AG5" s="5"/>
      <c r="AH5" s="5"/>
      <c r="AI5" s="5"/>
      <c r="AJ5" s="5"/>
    </row>
    <row r="6" spans="1:36" ht="16.5" customHeight="1">
      <c r="B6" s="75"/>
      <c r="C6" s="77"/>
      <c r="D6" s="78"/>
      <c r="E6" s="79"/>
      <c r="F6" s="79"/>
      <c r="G6" s="74"/>
      <c r="H6" s="72"/>
      <c r="I6" s="72"/>
      <c r="J6" s="72"/>
      <c r="K6" s="5"/>
      <c r="L6" s="5"/>
      <c r="M6" s="5"/>
      <c r="N6" s="5"/>
      <c r="O6" s="5"/>
      <c r="P6" s="5"/>
      <c r="Q6" s="5"/>
      <c r="R6" s="74"/>
      <c r="S6" s="5"/>
      <c r="T6" s="5"/>
      <c r="U6" s="5"/>
      <c r="V6" s="5"/>
      <c r="W6" s="5"/>
      <c r="X6" s="5"/>
      <c r="Y6" s="5"/>
      <c r="Z6" s="5"/>
      <c r="AA6" s="5"/>
      <c r="AB6" s="5"/>
      <c r="AC6" s="5"/>
      <c r="AD6" s="5"/>
      <c r="AE6" s="5"/>
      <c r="AF6" s="5"/>
      <c r="AG6" s="5"/>
      <c r="AH6" s="5"/>
      <c r="AI6" s="5"/>
      <c r="AJ6" s="5"/>
    </row>
    <row r="7" spans="1:36" ht="12.75" customHeight="1">
      <c r="B7" s="68"/>
      <c r="D7" s="69"/>
      <c r="E7" s="70"/>
      <c r="F7" s="80"/>
      <c r="G7" s="81" t="s">
        <v>184</v>
      </c>
      <c r="H7" s="82">
        <v>1.0146119209069699</v>
      </c>
      <c r="I7" s="131">
        <v>1.02623382632993</v>
      </c>
      <c r="J7" s="131">
        <v>1.03942193033976</v>
      </c>
      <c r="K7" s="132"/>
      <c r="L7" s="132"/>
      <c r="M7" s="132"/>
      <c r="N7" s="132"/>
      <c r="O7" s="132"/>
      <c r="P7" s="132"/>
      <c r="Q7" s="132"/>
      <c r="R7" s="5"/>
      <c r="S7" s="5"/>
      <c r="T7" s="5"/>
      <c r="U7" s="5"/>
      <c r="V7" s="5"/>
      <c r="W7" s="5"/>
      <c r="X7" s="5"/>
      <c r="Y7" s="5"/>
      <c r="Z7" s="5"/>
      <c r="AA7" s="5"/>
      <c r="AB7" s="5"/>
      <c r="AC7" s="5"/>
      <c r="AD7" s="5"/>
      <c r="AE7" s="5"/>
      <c r="AF7" s="5"/>
      <c r="AG7" s="5"/>
      <c r="AH7" s="5"/>
      <c r="AI7" s="5"/>
      <c r="AJ7" s="5"/>
    </row>
    <row r="8" spans="1:36" ht="40.5" customHeight="1">
      <c r="A8" s="1002"/>
      <c r="B8" s="1003"/>
      <c r="C8" s="1004"/>
      <c r="D8" s="83"/>
      <c r="E8" s="84" t="s">
        <v>185</v>
      </c>
      <c r="F8" s="84" t="s">
        <v>186</v>
      </c>
      <c r="G8" s="85" t="s">
        <v>187</v>
      </c>
      <c r="H8" s="86" t="s">
        <v>188</v>
      </c>
      <c r="I8" s="133" t="s">
        <v>189</v>
      </c>
      <c r="J8" s="133" t="s">
        <v>190</v>
      </c>
      <c r="K8" s="132">
        <f>SUBTOTAL(9,F363,F374,F385,F396,F401,F410,F442)</f>
        <v>0</v>
      </c>
      <c r="L8" s="134">
        <f>G10-G138</f>
        <v>451930.92</v>
      </c>
      <c r="M8" s="132"/>
      <c r="N8" s="134">
        <f>F10-G10</f>
        <v>-451930.92</v>
      </c>
      <c r="O8" s="132"/>
      <c r="P8" s="132"/>
      <c r="Q8" s="132"/>
      <c r="R8" s="5"/>
      <c r="S8" s="5"/>
      <c r="T8" s="5"/>
      <c r="U8" s="5"/>
      <c r="V8" s="5"/>
      <c r="W8" s="5"/>
      <c r="X8" s="5"/>
      <c r="Y8" s="5"/>
      <c r="Z8" s="5"/>
      <c r="AA8" s="5"/>
      <c r="AB8" s="5"/>
      <c r="AC8" s="5"/>
      <c r="AD8" s="5"/>
      <c r="AE8" s="5"/>
      <c r="AF8" s="5"/>
      <c r="AG8" s="5"/>
      <c r="AH8" s="5"/>
      <c r="AI8" s="5"/>
      <c r="AJ8" s="5"/>
    </row>
    <row r="9" spans="1:36" ht="12.75" customHeight="1">
      <c r="A9" s="1005"/>
      <c r="B9" s="1006"/>
      <c r="C9" s="1007"/>
      <c r="D9" s="87"/>
      <c r="E9" s="88"/>
      <c r="F9" s="88"/>
      <c r="G9" s="89"/>
      <c r="H9" s="90"/>
      <c r="I9" s="135"/>
      <c r="J9" s="135"/>
      <c r="K9" s="132"/>
      <c r="L9" s="134">
        <f>SUBTOTAL(9,G83,G94,G105,G110,G72)</f>
        <v>5893.7000000000007</v>
      </c>
      <c r="M9" s="132"/>
      <c r="N9" s="132"/>
      <c r="O9" s="132"/>
      <c r="P9" s="132"/>
      <c r="Q9" s="132"/>
      <c r="R9" s="5"/>
      <c r="S9" s="5"/>
      <c r="T9" s="5"/>
      <c r="U9" s="5"/>
      <c r="V9" s="5"/>
      <c r="W9" s="5"/>
      <c r="X9" s="5"/>
      <c r="Y9" s="5"/>
      <c r="Z9" s="5"/>
      <c r="AA9" s="5"/>
      <c r="AB9" s="5"/>
      <c r="AC9" s="5"/>
      <c r="AD9" s="5"/>
      <c r="AE9" s="5"/>
      <c r="AF9" s="5"/>
      <c r="AG9" s="5"/>
      <c r="AH9" s="5"/>
      <c r="AI9" s="5"/>
      <c r="AJ9" s="5"/>
    </row>
    <row r="10" spans="1:36" ht="24.75" customHeight="1">
      <c r="A10" s="990" t="s">
        <v>191</v>
      </c>
      <c r="B10" s="948"/>
      <c r="C10" s="948"/>
      <c r="D10" s="92" t="s">
        <v>192</v>
      </c>
      <c r="E10" s="93">
        <f>SUM(E12,E124,E131,E141,E216,E264,E266)</f>
        <v>451930.92</v>
      </c>
      <c r="F10" s="93">
        <f>SUM(F12,F124,F131,F141,F216,F264,F266)</f>
        <v>0</v>
      </c>
      <c r="G10" s="94">
        <f>SUM(G12,G124,G131,G141,G216,G264,G266)</f>
        <v>451930.92</v>
      </c>
      <c r="H10" s="95" t="e">
        <f>SUM(H12,H124,H131,H141,H216,H264)</f>
        <v>#REF!</v>
      </c>
      <c r="I10" s="136" t="e">
        <f>SUM(I12,I124,I131,I141,I216,I264)</f>
        <v>#REF!</v>
      </c>
      <c r="J10" s="136" t="e">
        <f>SUM(J12,J124,J131,J141,J216,J264)</f>
        <v>#REF!</v>
      </c>
      <c r="K10" s="137">
        <f t="shared" ref="K10:K156" si="0">SUM(E10:G10)</f>
        <v>903861.84</v>
      </c>
      <c r="L10" s="138">
        <f t="shared" ref="L10:L117" si="1">IF(G10&lt;&gt;0,G10,0)</f>
        <v>451930.92</v>
      </c>
      <c r="M10" s="139">
        <f>SUM(G72,G83,G94,G110,G118,G125,G183,G207)</f>
        <v>5871.7000000000007</v>
      </c>
      <c r="N10" s="140">
        <v>4500</v>
      </c>
      <c r="O10" s="140"/>
      <c r="P10" s="140"/>
      <c r="Q10" s="139">
        <f>E10-G10</f>
        <v>0</v>
      </c>
      <c r="R10" s="155"/>
      <c r="S10" s="155"/>
      <c r="T10" s="155"/>
      <c r="U10" s="155"/>
      <c r="V10" s="155"/>
      <c r="W10" s="155"/>
      <c r="X10" s="155"/>
      <c r="Y10" s="155"/>
      <c r="Z10" s="155"/>
      <c r="AA10" s="155"/>
      <c r="AB10" s="155"/>
      <c r="AC10" s="155"/>
      <c r="AD10" s="155"/>
      <c r="AE10" s="155"/>
      <c r="AF10" s="155"/>
      <c r="AG10" s="155"/>
      <c r="AH10" s="155"/>
      <c r="AI10" s="155"/>
      <c r="AJ10" s="155"/>
    </row>
    <row r="11" spans="1:36" ht="12.75" customHeight="1">
      <c r="A11" s="990" t="s">
        <v>193</v>
      </c>
      <c r="B11" s="948"/>
      <c r="C11" s="948"/>
      <c r="D11" s="92" t="s">
        <v>194</v>
      </c>
      <c r="E11" s="93">
        <f t="shared" ref="E11:F11" si="2">E12-E43-E118+E124+E131</f>
        <v>117435.70000000001</v>
      </c>
      <c r="F11" s="93">
        <f t="shared" si="2"/>
        <v>0</v>
      </c>
      <c r="G11" s="94">
        <f t="shared" ref="G11:J11" si="3">G12-G43-G118+G124+G131</f>
        <v>117435.70000000001</v>
      </c>
      <c r="H11" s="96">
        <f t="shared" si="3"/>
        <v>0</v>
      </c>
      <c r="I11" s="141">
        <f t="shared" si="3"/>
        <v>0</v>
      </c>
      <c r="J11" s="141">
        <f t="shared" si="3"/>
        <v>0</v>
      </c>
      <c r="K11" s="137">
        <f t="shared" si="0"/>
        <v>234871.40000000002</v>
      </c>
      <c r="L11" s="137">
        <f t="shared" si="1"/>
        <v>117435.70000000001</v>
      </c>
      <c r="M11" s="142">
        <f>G11-G22</f>
        <v>5893.7000000000116</v>
      </c>
      <c r="N11" s="143">
        <v>730</v>
      </c>
      <c r="O11" s="143"/>
      <c r="P11" s="143"/>
      <c r="Q11" s="139">
        <f t="shared" ref="Q11:Q14" si="4">E11-G11</f>
        <v>0</v>
      </c>
      <c r="R11" s="156"/>
      <c r="S11" s="156"/>
      <c r="T11" s="156"/>
      <c r="U11" s="156"/>
      <c r="V11" s="156"/>
      <c r="W11" s="156"/>
      <c r="X11" s="156"/>
      <c r="Y11" s="156"/>
      <c r="Z11" s="156"/>
      <c r="AA11" s="156"/>
      <c r="AB11" s="156"/>
      <c r="AC11" s="156"/>
      <c r="AD11" s="156"/>
      <c r="AE11" s="156"/>
      <c r="AF11" s="156"/>
      <c r="AG11" s="156"/>
      <c r="AH11" s="156"/>
      <c r="AI11" s="156"/>
      <c r="AJ11" s="156"/>
    </row>
    <row r="12" spans="1:36" ht="12.75" customHeight="1">
      <c r="A12" s="990" t="s">
        <v>195</v>
      </c>
      <c r="B12" s="948"/>
      <c r="C12" s="948"/>
      <c r="D12" s="92" t="s">
        <v>196</v>
      </c>
      <c r="E12" s="93">
        <f t="shared" ref="E12:F12" si="5">SUM(E13,E81)</f>
        <v>218814.7</v>
      </c>
      <c r="F12" s="93">
        <f t="shared" si="5"/>
        <v>0</v>
      </c>
      <c r="G12" s="94">
        <f t="shared" ref="G12:J12" si="6">SUM(G13,G81)</f>
        <v>218814.7</v>
      </c>
      <c r="H12" s="96">
        <f t="shared" si="6"/>
        <v>45978</v>
      </c>
      <c r="I12" s="141">
        <f t="shared" si="6"/>
        <v>46471</v>
      </c>
      <c r="J12" s="141">
        <f t="shared" si="6"/>
        <v>46918</v>
      </c>
      <c r="K12" s="137">
        <f t="shared" si="0"/>
        <v>437629.4</v>
      </c>
      <c r="L12" s="137">
        <f t="shared" si="1"/>
        <v>218814.7</v>
      </c>
      <c r="M12" s="81">
        <f>M10-M11</f>
        <v>-22.000000000010914</v>
      </c>
      <c r="N12" s="144">
        <f>SUM(N10:N11)</f>
        <v>5230</v>
      </c>
      <c r="O12" s="144"/>
      <c r="P12" s="144"/>
      <c r="Q12" s="139">
        <f t="shared" si="4"/>
        <v>0</v>
      </c>
      <c r="R12" s="11"/>
      <c r="S12" s="11"/>
      <c r="T12" s="11"/>
      <c r="U12" s="11"/>
      <c r="V12" s="11"/>
      <c r="W12" s="11"/>
      <c r="X12" s="11"/>
      <c r="Y12" s="11"/>
      <c r="Z12" s="11"/>
      <c r="AA12" s="11"/>
      <c r="AB12" s="11"/>
      <c r="AC12" s="11"/>
      <c r="AD12" s="11"/>
      <c r="AE12" s="11"/>
      <c r="AF12" s="11"/>
      <c r="AG12" s="11"/>
      <c r="AH12" s="11"/>
      <c r="AI12" s="11"/>
      <c r="AJ12" s="11"/>
    </row>
    <row r="13" spans="1:36" ht="12.75" customHeight="1">
      <c r="A13" s="990" t="s">
        <v>197</v>
      </c>
      <c r="B13" s="948"/>
      <c r="C13" s="948"/>
      <c r="D13" s="92" t="s">
        <v>198</v>
      </c>
      <c r="E13" s="93">
        <f t="shared" ref="E13:F13" si="7">SUM(E14,E31,E42,E78)</f>
        <v>214518.1</v>
      </c>
      <c r="F13" s="93">
        <f t="shared" si="7"/>
        <v>0</v>
      </c>
      <c r="G13" s="94">
        <f t="shared" ref="G13:J13" si="8">SUM(G14,G31,G42,G78)</f>
        <v>214518.1</v>
      </c>
      <c r="H13" s="96">
        <f t="shared" si="8"/>
        <v>45978</v>
      </c>
      <c r="I13" s="141">
        <f t="shared" si="8"/>
        <v>46471</v>
      </c>
      <c r="J13" s="141">
        <f t="shared" si="8"/>
        <v>46918</v>
      </c>
      <c r="K13" s="137">
        <f t="shared" si="0"/>
        <v>429036.2</v>
      </c>
      <c r="L13" s="137">
        <f t="shared" si="1"/>
        <v>214518.1</v>
      </c>
      <c r="M13" s="144"/>
      <c r="N13" s="144"/>
      <c r="O13" s="144"/>
      <c r="P13" s="144"/>
      <c r="Q13" s="139">
        <f t="shared" si="4"/>
        <v>0</v>
      </c>
      <c r="R13" s="11"/>
      <c r="S13" s="11"/>
      <c r="T13" s="11"/>
      <c r="U13" s="11"/>
      <c r="V13" s="11"/>
      <c r="W13" s="11"/>
      <c r="X13" s="11"/>
      <c r="Y13" s="11"/>
      <c r="Z13" s="11"/>
      <c r="AA13" s="11"/>
      <c r="AB13" s="11"/>
      <c r="AC13" s="11"/>
      <c r="AD13" s="11"/>
      <c r="AE13" s="11"/>
      <c r="AF13" s="11"/>
      <c r="AG13" s="11"/>
      <c r="AH13" s="11"/>
      <c r="AI13" s="11"/>
      <c r="AJ13" s="11"/>
    </row>
    <row r="14" spans="1:36" ht="12.75" customHeight="1">
      <c r="A14" s="990" t="s">
        <v>199</v>
      </c>
      <c r="B14" s="948"/>
      <c r="C14" s="948"/>
      <c r="D14" s="92" t="s">
        <v>200</v>
      </c>
      <c r="E14" s="93">
        <f t="shared" ref="E14:F14" si="9">SUM(E15,E18,E26)</f>
        <v>111542</v>
      </c>
      <c r="F14" s="93">
        <f t="shared" si="9"/>
        <v>0</v>
      </c>
      <c r="G14" s="94">
        <f t="shared" ref="G14:J14" si="10">SUM(G15,G18,G26)</f>
        <v>111542</v>
      </c>
      <c r="H14" s="96">
        <f t="shared" si="10"/>
        <v>0</v>
      </c>
      <c r="I14" s="141">
        <f t="shared" si="10"/>
        <v>0</v>
      </c>
      <c r="J14" s="141">
        <f t="shared" si="10"/>
        <v>0</v>
      </c>
      <c r="K14" s="137">
        <f t="shared" si="0"/>
        <v>223084</v>
      </c>
      <c r="L14" s="137">
        <f t="shared" si="1"/>
        <v>111542</v>
      </c>
      <c r="M14" s="144"/>
      <c r="N14" s="144"/>
      <c r="O14" s="144"/>
      <c r="P14" s="144"/>
      <c r="Q14" s="139">
        <f t="shared" si="4"/>
        <v>0</v>
      </c>
      <c r="R14" s="11"/>
      <c r="S14" s="11"/>
      <c r="T14" s="11"/>
      <c r="U14" s="11"/>
      <c r="V14" s="11"/>
      <c r="W14" s="11"/>
      <c r="X14" s="11"/>
      <c r="Y14" s="11"/>
      <c r="Z14" s="11"/>
      <c r="AA14" s="11"/>
      <c r="AB14" s="11"/>
      <c r="AC14" s="11"/>
      <c r="AD14" s="11"/>
      <c r="AE14" s="11"/>
      <c r="AF14" s="11"/>
      <c r="AG14" s="11"/>
      <c r="AH14" s="11"/>
      <c r="AI14" s="11"/>
      <c r="AJ14" s="11"/>
    </row>
    <row r="15" spans="1:36" ht="30.75" hidden="1" customHeight="1">
      <c r="A15" s="989" t="s">
        <v>201</v>
      </c>
      <c r="B15" s="948"/>
      <c r="C15" s="948"/>
      <c r="D15" s="97" t="s">
        <v>202</v>
      </c>
      <c r="E15" s="98">
        <f t="shared" ref="E15:F16" si="11">SUM(E16)</f>
        <v>0</v>
      </c>
      <c r="F15" s="98">
        <f t="shared" si="11"/>
        <v>0</v>
      </c>
      <c r="G15" s="99">
        <f t="shared" ref="G15:J16" si="12">SUM(G16)</f>
        <v>0</v>
      </c>
      <c r="H15" s="96">
        <f t="shared" si="12"/>
        <v>0</v>
      </c>
      <c r="I15" s="141">
        <f t="shared" si="12"/>
        <v>0</v>
      </c>
      <c r="J15" s="141">
        <f t="shared" si="12"/>
        <v>0</v>
      </c>
      <c r="K15" s="145">
        <f t="shared" si="0"/>
        <v>0</v>
      </c>
      <c r="L15" s="145">
        <f t="shared" si="1"/>
        <v>0</v>
      </c>
      <c r="M15" s="11"/>
      <c r="N15" s="11"/>
      <c r="O15" s="11"/>
      <c r="P15" s="11"/>
      <c r="Q15" s="11"/>
      <c r="R15" s="11"/>
      <c r="S15" s="11"/>
      <c r="T15" s="11"/>
      <c r="U15" s="11"/>
      <c r="V15" s="11"/>
      <c r="W15" s="11"/>
      <c r="X15" s="11"/>
      <c r="Y15" s="11"/>
      <c r="Z15" s="11"/>
      <c r="AA15" s="11"/>
      <c r="AB15" s="11"/>
      <c r="AC15" s="11"/>
      <c r="AD15" s="11"/>
      <c r="AE15" s="11"/>
      <c r="AF15" s="11"/>
      <c r="AG15" s="11"/>
      <c r="AH15" s="11"/>
      <c r="AI15" s="11"/>
      <c r="AJ15" s="11"/>
    </row>
    <row r="16" spans="1:36" ht="12.75" hidden="1" customHeight="1">
      <c r="A16" s="989" t="s">
        <v>203</v>
      </c>
      <c r="B16" s="948"/>
      <c r="C16" s="948"/>
      <c r="D16" s="97" t="s">
        <v>204</v>
      </c>
      <c r="E16" s="98">
        <f t="shared" si="11"/>
        <v>0</v>
      </c>
      <c r="F16" s="98">
        <f t="shared" si="11"/>
        <v>0</v>
      </c>
      <c r="G16" s="99">
        <f t="shared" si="12"/>
        <v>0</v>
      </c>
      <c r="H16" s="96">
        <f t="shared" si="12"/>
        <v>0</v>
      </c>
      <c r="I16" s="141">
        <f t="shared" si="12"/>
        <v>0</v>
      </c>
      <c r="J16" s="141">
        <f t="shared" si="12"/>
        <v>0</v>
      </c>
      <c r="K16" s="145">
        <f t="shared" si="0"/>
        <v>0</v>
      </c>
      <c r="L16" s="145">
        <f t="shared" si="1"/>
        <v>0</v>
      </c>
      <c r="M16" s="5"/>
      <c r="N16" s="5"/>
      <c r="O16" s="5"/>
      <c r="P16" s="5"/>
      <c r="Q16" s="5"/>
      <c r="R16" s="5"/>
      <c r="S16" s="5"/>
      <c r="T16" s="5"/>
      <c r="U16" s="5"/>
      <c r="V16" s="5"/>
      <c r="W16" s="5"/>
      <c r="X16" s="5"/>
      <c r="Y16" s="5"/>
      <c r="Z16" s="5"/>
      <c r="AA16" s="5"/>
      <c r="AB16" s="5"/>
      <c r="AC16" s="5"/>
      <c r="AD16" s="5"/>
      <c r="AE16" s="5"/>
      <c r="AF16" s="5"/>
      <c r="AG16" s="5"/>
      <c r="AH16" s="5"/>
      <c r="AI16" s="5"/>
      <c r="AJ16" s="5"/>
    </row>
    <row r="17" spans="1:17" ht="12.75" hidden="1" customHeight="1">
      <c r="A17" s="100"/>
      <c r="B17" s="993" t="s">
        <v>205</v>
      </c>
      <c r="C17" s="948"/>
      <c r="D17" s="102" t="s">
        <v>206</v>
      </c>
      <c r="E17" s="103">
        <f t="shared" ref="E17:F17" si="13">SUM(E309)</f>
        <v>0</v>
      </c>
      <c r="F17" s="103">
        <f t="shared" si="13"/>
        <v>0</v>
      </c>
      <c r="G17" s="104">
        <f t="shared" ref="G17:J17" si="14">SUM(G309)</f>
        <v>0</v>
      </c>
      <c r="H17" s="105">
        <f t="shared" si="14"/>
        <v>0</v>
      </c>
      <c r="I17" s="146">
        <f t="shared" si="14"/>
        <v>0</v>
      </c>
      <c r="J17" s="146">
        <f t="shared" si="14"/>
        <v>0</v>
      </c>
      <c r="K17" s="145">
        <f t="shared" si="0"/>
        <v>0</v>
      </c>
      <c r="L17" s="145">
        <f t="shared" si="1"/>
        <v>0</v>
      </c>
      <c r="M17" s="147"/>
      <c r="N17" s="147"/>
      <c r="O17" s="147"/>
      <c r="P17" s="147"/>
      <c r="Q17" s="147"/>
    </row>
    <row r="18" spans="1:17" ht="26.25" customHeight="1">
      <c r="A18" s="990" t="s">
        <v>207</v>
      </c>
      <c r="B18" s="948"/>
      <c r="C18" s="948"/>
      <c r="D18" s="92" t="s">
        <v>208</v>
      </c>
      <c r="E18" s="93">
        <f t="shared" ref="E18:F18" si="15">SUM(E19,E22)</f>
        <v>111542</v>
      </c>
      <c r="F18" s="93">
        <f t="shared" si="15"/>
        <v>0</v>
      </c>
      <c r="G18" s="94">
        <f t="shared" ref="G18:J18" si="16">SUM(G19,G22)</f>
        <v>111542</v>
      </c>
      <c r="H18" s="96">
        <f t="shared" si="16"/>
        <v>0</v>
      </c>
      <c r="I18" s="141">
        <f t="shared" si="16"/>
        <v>0</v>
      </c>
      <c r="J18" s="141">
        <f t="shared" si="16"/>
        <v>0</v>
      </c>
      <c r="K18" s="137">
        <f t="shared" si="0"/>
        <v>223084</v>
      </c>
      <c r="L18" s="137">
        <f t="shared" si="1"/>
        <v>111542</v>
      </c>
      <c r="M18" s="148"/>
      <c r="N18" s="148"/>
      <c r="O18" s="148"/>
      <c r="P18" s="148"/>
      <c r="Q18" s="139">
        <f>E18-G18</f>
        <v>0</v>
      </c>
    </row>
    <row r="19" spans="1:17" ht="12.75" hidden="1" customHeight="1">
      <c r="A19" s="989" t="s">
        <v>209</v>
      </c>
      <c r="B19" s="948"/>
      <c r="C19" s="948"/>
      <c r="D19" s="97" t="s">
        <v>210</v>
      </c>
      <c r="E19" s="98">
        <f t="shared" ref="E19:F19" si="17">SUM(E20:E21)</f>
        <v>0</v>
      </c>
      <c r="F19" s="98">
        <f t="shared" si="17"/>
        <v>0</v>
      </c>
      <c r="G19" s="99">
        <f t="shared" ref="G19" si="18">SUM(G20:G21)</f>
        <v>0</v>
      </c>
      <c r="H19" s="96">
        <f t="shared" ref="H19:J19" si="19">SUM(H20:H21)</f>
        <v>0</v>
      </c>
      <c r="I19" s="141">
        <f t="shared" si="19"/>
        <v>0</v>
      </c>
      <c r="J19" s="141">
        <f t="shared" si="19"/>
        <v>0</v>
      </c>
      <c r="K19" s="145">
        <f t="shared" si="0"/>
        <v>0</v>
      </c>
      <c r="L19" s="145">
        <f t="shared" si="1"/>
        <v>0</v>
      </c>
      <c r="M19" s="149"/>
      <c r="N19" s="149"/>
      <c r="O19" s="149"/>
      <c r="P19" s="149"/>
      <c r="Q19" s="149"/>
    </row>
    <row r="20" spans="1:17" ht="12.75" customHeight="1">
      <c r="A20" s="106"/>
      <c r="B20" s="994" t="s">
        <v>211</v>
      </c>
      <c r="C20" s="948"/>
      <c r="D20" s="108" t="s">
        <v>212</v>
      </c>
      <c r="E20" s="109" t="s">
        <v>213</v>
      </c>
      <c r="F20" s="109" t="s">
        <v>213</v>
      </c>
      <c r="G20" s="110" t="s">
        <v>213</v>
      </c>
      <c r="H20" s="105" t="s">
        <v>213</v>
      </c>
      <c r="I20" s="146" t="s">
        <v>213</v>
      </c>
      <c r="J20" s="146" t="s">
        <v>213</v>
      </c>
      <c r="K20" s="137">
        <f t="shared" si="0"/>
        <v>0</v>
      </c>
      <c r="L20" s="137" t="str">
        <f t="shared" si="1"/>
        <v>x</v>
      </c>
      <c r="M20" s="150"/>
      <c r="N20" s="150"/>
      <c r="O20" s="150"/>
      <c r="P20" s="150"/>
      <c r="Q20" s="139" t="e">
        <f>E20-G20</f>
        <v>#VALUE!</v>
      </c>
    </row>
    <row r="21" spans="1:17" ht="30" hidden="1" customHeight="1">
      <c r="A21" s="111"/>
      <c r="B21" s="993" t="s">
        <v>214</v>
      </c>
      <c r="C21" s="948"/>
      <c r="D21" s="102" t="s">
        <v>215</v>
      </c>
      <c r="E21" s="103">
        <f t="shared" ref="E21:F21" si="20">SUM(E313)</f>
        <v>0</v>
      </c>
      <c r="F21" s="103">
        <f t="shared" si="20"/>
        <v>0</v>
      </c>
      <c r="G21" s="104">
        <f t="shared" ref="G21:J21" si="21">SUM(G313)</f>
        <v>0</v>
      </c>
      <c r="H21" s="105">
        <f t="shared" si="21"/>
        <v>0</v>
      </c>
      <c r="I21" s="146">
        <f t="shared" si="21"/>
        <v>0</v>
      </c>
      <c r="J21" s="146">
        <f t="shared" si="21"/>
        <v>0</v>
      </c>
      <c r="K21" s="145">
        <f t="shared" si="0"/>
        <v>0</v>
      </c>
      <c r="L21" s="145">
        <f t="shared" si="1"/>
        <v>0</v>
      </c>
      <c r="M21" s="151"/>
      <c r="N21" s="151"/>
      <c r="O21" s="151"/>
      <c r="P21" s="151"/>
      <c r="Q21" s="151"/>
    </row>
    <row r="22" spans="1:17" ht="12.75" customHeight="1">
      <c r="A22" s="990" t="s">
        <v>216</v>
      </c>
      <c r="B22" s="948"/>
      <c r="C22" s="948"/>
      <c r="D22" s="92" t="s">
        <v>217</v>
      </c>
      <c r="E22" s="93">
        <f t="shared" ref="E22:F22" si="22">SUM(E23:E25)</f>
        <v>111542</v>
      </c>
      <c r="F22" s="93">
        <f t="shared" si="22"/>
        <v>0</v>
      </c>
      <c r="G22" s="94">
        <f t="shared" ref="G22:J22" si="23">SUM(G23:G25)</f>
        <v>111542</v>
      </c>
      <c r="H22" s="96">
        <f t="shared" si="23"/>
        <v>0</v>
      </c>
      <c r="I22" s="141">
        <f t="shared" si="23"/>
        <v>0</v>
      </c>
      <c r="J22" s="141">
        <f t="shared" si="23"/>
        <v>0</v>
      </c>
      <c r="K22" s="137">
        <f t="shared" si="0"/>
        <v>223084</v>
      </c>
      <c r="L22" s="137">
        <f t="shared" si="1"/>
        <v>111542</v>
      </c>
      <c r="M22" s="148"/>
      <c r="N22" s="148"/>
      <c r="O22" s="148"/>
      <c r="P22" s="148"/>
      <c r="Q22" s="139">
        <f t="shared" ref="Q22:Q24" si="24">E22-G22</f>
        <v>0</v>
      </c>
    </row>
    <row r="23" spans="1:17" ht="12.75" customHeight="1">
      <c r="A23" s="106"/>
      <c r="B23" s="994" t="s">
        <v>218</v>
      </c>
      <c r="C23" s="948"/>
      <c r="D23" s="108" t="s">
        <v>219</v>
      </c>
      <c r="E23" s="109">
        <f t="shared" ref="E23:F25" si="25">SUM(E315)</f>
        <v>70826</v>
      </c>
      <c r="F23" s="109">
        <f t="shared" si="25"/>
        <v>0</v>
      </c>
      <c r="G23" s="110">
        <f t="shared" ref="G23:J25" si="26">SUM(G315)</f>
        <v>70826</v>
      </c>
      <c r="H23" s="105">
        <f t="shared" si="26"/>
        <v>0</v>
      </c>
      <c r="I23" s="146">
        <f t="shared" si="26"/>
        <v>0</v>
      </c>
      <c r="J23" s="146">
        <f t="shared" si="26"/>
        <v>0</v>
      </c>
      <c r="K23" s="137">
        <f t="shared" si="0"/>
        <v>141652</v>
      </c>
      <c r="L23" s="137">
        <f t="shared" si="1"/>
        <v>70826</v>
      </c>
      <c r="M23" s="148"/>
      <c r="N23" s="148"/>
      <c r="O23" s="148"/>
      <c r="P23" s="148"/>
      <c r="Q23" s="139">
        <f t="shared" si="24"/>
        <v>0</v>
      </c>
    </row>
    <row r="24" spans="1:17" ht="29.25" customHeight="1">
      <c r="A24" s="106"/>
      <c r="B24" s="994" t="s">
        <v>220</v>
      </c>
      <c r="C24" s="948"/>
      <c r="D24" s="108" t="s">
        <v>221</v>
      </c>
      <c r="E24" s="109">
        <f t="shared" si="25"/>
        <v>40716</v>
      </c>
      <c r="F24" s="109">
        <f t="shared" si="25"/>
        <v>0</v>
      </c>
      <c r="G24" s="110">
        <f t="shared" si="26"/>
        <v>40716</v>
      </c>
      <c r="H24" s="105"/>
      <c r="I24" s="146"/>
      <c r="J24" s="146"/>
      <c r="K24" s="137">
        <f t="shared" si="0"/>
        <v>81432</v>
      </c>
      <c r="L24" s="137">
        <f t="shared" si="1"/>
        <v>40716</v>
      </c>
      <c r="M24" s="148"/>
      <c r="N24" s="148"/>
      <c r="O24" s="148"/>
      <c r="P24" s="148"/>
      <c r="Q24" s="139">
        <f t="shared" si="24"/>
        <v>0</v>
      </c>
    </row>
    <row r="25" spans="1:17" ht="29.25" hidden="1" customHeight="1">
      <c r="A25" s="106"/>
      <c r="B25" s="994" t="s">
        <v>222</v>
      </c>
      <c r="C25" s="948"/>
      <c r="D25" s="112">
        <v>38023</v>
      </c>
      <c r="E25" s="109">
        <f t="shared" si="25"/>
        <v>0</v>
      </c>
      <c r="F25" s="109">
        <f t="shared" si="25"/>
        <v>0</v>
      </c>
      <c r="G25" s="104">
        <f t="shared" si="26"/>
        <v>0</v>
      </c>
      <c r="H25" s="105">
        <f>SUM(H317)</f>
        <v>0</v>
      </c>
      <c r="I25" s="146">
        <f>SUM(I317)</f>
        <v>0</v>
      </c>
      <c r="J25" s="146">
        <f>SUM(J317)</f>
        <v>0</v>
      </c>
      <c r="K25" s="145">
        <f t="shared" si="0"/>
        <v>0</v>
      </c>
      <c r="L25" s="145">
        <f t="shared" si="1"/>
        <v>0</v>
      </c>
      <c r="M25" s="149"/>
      <c r="N25" s="149"/>
      <c r="O25" s="149"/>
      <c r="P25" s="149"/>
      <c r="Q25" s="149"/>
    </row>
    <row r="26" spans="1:17" ht="12.75" hidden="1" customHeight="1">
      <c r="A26" s="989" t="s">
        <v>223</v>
      </c>
      <c r="B26" s="948"/>
      <c r="C26" s="948"/>
      <c r="D26" s="97" t="s">
        <v>224</v>
      </c>
      <c r="E26" s="98">
        <f t="shared" ref="E26:F27" si="27">SUM(E27)</f>
        <v>0</v>
      </c>
      <c r="F26" s="98">
        <f t="shared" si="27"/>
        <v>0</v>
      </c>
      <c r="G26" s="99">
        <f t="shared" ref="G26:J27" si="28">SUM(G27)</f>
        <v>0</v>
      </c>
      <c r="H26" s="96">
        <f t="shared" si="28"/>
        <v>0</v>
      </c>
      <c r="I26" s="141">
        <f t="shared" si="28"/>
        <v>0</v>
      </c>
      <c r="J26" s="141">
        <f t="shared" si="28"/>
        <v>0</v>
      </c>
      <c r="K26" s="145">
        <f t="shared" si="0"/>
        <v>0</v>
      </c>
      <c r="L26" s="145">
        <f t="shared" si="1"/>
        <v>0</v>
      </c>
      <c r="M26" s="149"/>
      <c r="N26" s="149"/>
      <c r="O26" s="149"/>
      <c r="P26" s="149"/>
      <c r="Q26" s="149"/>
    </row>
    <row r="27" spans="1:17" ht="30" hidden="1" customHeight="1">
      <c r="A27" s="989" t="s">
        <v>225</v>
      </c>
      <c r="B27" s="948"/>
      <c r="C27" s="948"/>
      <c r="D27" s="97" t="s">
        <v>226</v>
      </c>
      <c r="E27" s="98">
        <f t="shared" si="27"/>
        <v>0</v>
      </c>
      <c r="F27" s="98">
        <f t="shared" si="27"/>
        <v>0</v>
      </c>
      <c r="G27" s="99">
        <f t="shared" si="28"/>
        <v>0</v>
      </c>
      <c r="H27" s="96">
        <f t="shared" si="28"/>
        <v>0</v>
      </c>
      <c r="I27" s="141">
        <f t="shared" si="28"/>
        <v>0</v>
      </c>
      <c r="J27" s="141">
        <f t="shared" si="28"/>
        <v>0</v>
      </c>
      <c r="K27" s="145">
        <f t="shared" si="0"/>
        <v>0</v>
      </c>
      <c r="L27" s="145">
        <f t="shared" si="1"/>
        <v>0</v>
      </c>
      <c r="M27" s="149"/>
      <c r="N27" s="149"/>
      <c r="O27" s="149"/>
      <c r="P27" s="149"/>
      <c r="Q27" s="149"/>
    </row>
    <row r="28" spans="1:17" ht="12.75" hidden="1" customHeight="1">
      <c r="A28" s="100"/>
      <c r="B28" s="993" t="s">
        <v>227</v>
      </c>
      <c r="C28" s="948"/>
      <c r="D28" s="102" t="s">
        <v>228</v>
      </c>
      <c r="E28" s="103">
        <f t="shared" ref="E28:F28" si="29">SUM(E320)</f>
        <v>0</v>
      </c>
      <c r="F28" s="103">
        <f t="shared" si="29"/>
        <v>0</v>
      </c>
      <c r="G28" s="104">
        <f t="shared" ref="G28:J28" si="30">SUM(G320)</f>
        <v>0</v>
      </c>
      <c r="H28" s="105">
        <f t="shared" si="30"/>
        <v>0</v>
      </c>
      <c r="I28" s="146">
        <f t="shared" si="30"/>
        <v>0</v>
      </c>
      <c r="J28" s="146">
        <f t="shared" si="30"/>
        <v>0</v>
      </c>
      <c r="K28" s="145">
        <f t="shared" si="0"/>
        <v>0</v>
      </c>
      <c r="L28" s="145">
        <f t="shared" si="1"/>
        <v>0</v>
      </c>
      <c r="M28" s="149"/>
      <c r="N28" s="149"/>
      <c r="O28" s="149"/>
      <c r="P28" s="149"/>
      <c r="Q28" s="149"/>
    </row>
    <row r="29" spans="1:17" ht="12.75" hidden="1" customHeight="1">
      <c r="A29" s="989" t="s">
        <v>229</v>
      </c>
      <c r="B29" s="948"/>
      <c r="C29" s="948"/>
      <c r="D29" s="97" t="s">
        <v>230</v>
      </c>
      <c r="E29" s="98">
        <f t="shared" ref="E29:F29" si="31">SUM(E30)</f>
        <v>0</v>
      </c>
      <c r="F29" s="98">
        <f t="shared" si="31"/>
        <v>0</v>
      </c>
      <c r="G29" s="99">
        <f t="shared" ref="G29:J29" si="32">SUM(G30)</f>
        <v>0</v>
      </c>
      <c r="H29" s="96">
        <f t="shared" si="32"/>
        <v>0</v>
      </c>
      <c r="I29" s="141">
        <f t="shared" si="32"/>
        <v>0</v>
      </c>
      <c r="J29" s="141">
        <f t="shared" si="32"/>
        <v>0</v>
      </c>
      <c r="K29" s="145">
        <f t="shared" si="0"/>
        <v>0</v>
      </c>
      <c r="L29" s="145">
        <f t="shared" si="1"/>
        <v>0</v>
      </c>
      <c r="M29" s="149"/>
      <c r="N29" s="149"/>
      <c r="O29" s="149"/>
      <c r="P29" s="149"/>
      <c r="Q29" s="149"/>
    </row>
    <row r="30" spans="1:17" ht="12.75" hidden="1" customHeight="1">
      <c r="A30" s="100"/>
      <c r="B30" s="993" t="s">
        <v>231</v>
      </c>
      <c r="C30" s="948"/>
      <c r="D30" s="102" t="s">
        <v>232</v>
      </c>
      <c r="E30" s="103">
        <f t="shared" ref="E30:F30" si="33">SUM(E322)</f>
        <v>0</v>
      </c>
      <c r="F30" s="103">
        <f t="shared" si="33"/>
        <v>0</v>
      </c>
      <c r="G30" s="104">
        <f t="shared" ref="G30:J30" si="34">SUM(G322)</f>
        <v>0</v>
      </c>
      <c r="H30" s="105">
        <f t="shared" si="34"/>
        <v>0</v>
      </c>
      <c r="I30" s="146">
        <f t="shared" si="34"/>
        <v>0</v>
      </c>
      <c r="J30" s="146">
        <f t="shared" si="34"/>
        <v>0</v>
      </c>
      <c r="K30" s="145">
        <f t="shared" si="0"/>
        <v>0</v>
      </c>
      <c r="L30" s="145">
        <f t="shared" si="1"/>
        <v>0</v>
      </c>
      <c r="M30" s="149"/>
      <c r="N30" s="149"/>
      <c r="O30" s="149"/>
      <c r="P30" s="149"/>
      <c r="Q30" s="149"/>
    </row>
    <row r="31" spans="1:17" ht="12.75" hidden="1" customHeight="1">
      <c r="A31" s="989" t="s">
        <v>233</v>
      </c>
      <c r="B31" s="948"/>
      <c r="C31" s="948"/>
      <c r="D31" s="97" t="s">
        <v>234</v>
      </c>
      <c r="E31" s="98">
        <f t="shared" ref="E31:F31" si="35">SUM(E32)</f>
        <v>0</v>
      </c>
      <c r="F31" s="98">
        <f t="shared" si="35"/>
        <v>0</v>
      </c>
      <c r="G31" s="99">
        <f t="shared" ref="G31:J31" si="36">SUM(G32)</f>
        <v>0</v>
      </c>
      <c r="H31" s="96">
        <f t="shared" si="36"/>
        <v>0</v>
      </c>
      <c r="I31" s="141">
        <f t="shared" si="36"/>
        <v>0</v>
      </c>
      <c r="J31" s="141">
        <f t="shared" si="36"/>
        <v>0</v>
      </c>
      <c r="K31" s="145">
        <f t="shared" si="0"/>
        <v>0</v>
      </c>
      <c r="L31" s="145">
        <f t="shared" si="1"/>
        <v>0</v>
      </c>
      <c r="M31" s="149"/>
      <c r="N31" s="149"/>
      <c r="O31" s="149"/>
      <c r="P31" s="149"/>
      <c r="Q31" s="149"/>
    </row>
    <row r="32" spans="1:17" ht="12.75" hidden="1" customHeight="1">
      <c r="A32" s="989" t="s">
        <v>235</v>
      </c>
      <c r="B32" s="948"/>
      <c r="C32" s="948"/>
      <c r="D32" s="97" t="s">
        <v>236</v>
      </c>
      <c r="E32" s="98">
        <f t="shared" ref="E32:F32" si="37">SUM(E33,E36,E40,E41)</f>
        <v>0</v>
      </c>
      <c r="F32" s="98">
        <f t="shared" si="37"/>
        <v>0</v>
      </c>
      <c r="G32" s="99">
        <f t="shared" ref="G32:J32" si="38">SUM(G33,G36,G40,G41)</f>
        <v>0</v>
      </c>
      <c r="H32" s="96">
        <f t="shared" si="38"/>
        <v>0</v>
      </c>
      <c r="I32" s="141">
        <f t="shared" si="38"/>
        <v>0</v>
      </c>
      <c r="J32" s="141">
        <f t="shared" si="38"/>
        <v>0</v>
      </c>
      <c r="K32" s="145">
        <f t="shared" si="0"/>
        <v>0</v>
      </c>
      <c r="L32" s="145">
        <f t="shared" si="1"/>
        <v>0</v>
      </c>
      <c r="M32" s="151"/>
      <c r="N32" s="151"/>
      <c r="O32" s="151"/>
      <c r="P32" s="151"/>
      <c r="Q32" s="151"/>
    </row>
    <row r="33" spans="1:17" ht="12.75" hidden="1" customHeight="1">
      <c r="A33" s="113"/>
      <c r="B33" s="993" t="s">
        <v>237</v>
      </c>
      <c r="C33" s="948"/>
      <c r="D33" s="102" t="s">
        <v>238</v>
      </c>
      <c r="E33" s="103">
        <f t="shared" ref="E33:F33" si="39">SUM(E34:E35)</f>
        <v>0</v>
      </c>
      <c r="F33" s="103">
        <f t="shared" si="39"/>
        <v>0</v>
      </c>
      <c r="G33" s="104">
        <f t="shared" ref="G33:J33" si="40">SUM(G34:G35)</f>
        <v>0</v>
      </c>
      <c r="H33" s="105">
        <f t="shared" si="40"/>
        <v>0</v>
      </c>
      <c r="I33" s="146">
        <f t="shared" si="40"/>
        <v>0</v>
      </c>
      <c r="J33" s="146">
        <f t="shared" si="40"/>
        <v>0</v>
      </c>
      <c r="K33" s="145">
        <f t="shared" si="0"/>
        <v>0</v>
      </c>
      <c r="L33" s="145">
        <f t="shared" si="1"/>
        <v>0</v>
      </c>
      <c r="M33" s="149"/>
      <c r="N33" s="149"/>
      <c r="O33" s="149"/>
      <c r="P33" s="149"/>
      <c r="Q33" s="149"/>
    </row>
    <row r="34" spans="1:17" ht="12.75" hidden="1" customHeight="1">
      <c r="A34" s="114"/>
      <c r="B34" s="115"/>
      <c r="C34" s="116" t="s">
        <v>239</v>
      </c>
      <c r="D34" s="117" t="s">
        <v>240</v>
      </c>
      <c r="E34" s="103">
        <f t="shared" ref="E34:F35" si="41">SUM(E326)</f>
        <v>0</v>
      </c>
      <c r="F34" s="103">
        <f t="shared" si="41"/>
        <v>0</v>
      </c>
      <c r="G34" s="104">
        <f t="shared" ref="G34:G35" si="42">SUM(G326)</f>
        <v>0</v>
      </c>
      <c r="H34" s="105">
        <f t="shared" ref="H34:J35" si="43">SUM(H326)</f>
        <v>0</v>
      </c>
      <c r="I34" s="146">
        <f t="shared" si="43"/>
        <v>0</v>
      </c>
      <c r="J34" s="146">
        <f t="shared" si="43"/>
        <v>0</v>
      </c>
      <c r="K34" s="145">
        <f t="shared" si="0"/>
        <v>0</v>
      </c>
      <c r="L34" s="145">
        <f t="shared" si="1"/>
        <v>0</v>
      </c>
      <c r="M34" s="147"/>
      <c r="N34" s="147"/>
      <c r="O34" s="147"/>
      <c r="P34" s="147"/>
      <c r="Q34" s="147"/>
    </row>
    <row r="35" spans="1:17" ht="12.75" hidden="1" customHeight="1">
      <c r="A35" s="114"/>
      <c r="B35" s="115"/>
      <c r="C35" s="116" t="s">
        <v>241</v>
      </c>
      <c r="D35" s="117" t="s">
        <v>242</v>
      </c>
      <c r="E35" s="103">
        <f t="shared" si="41"/>
        <v>0</v>
      </c>
      <c r="F35" s="103">
        <f t="shared" si="41"/>
        <v>0</v>
      </c>
      <c r="G35" s="104">
        <f t="shared" si="42"/>
        <v>0</v>
      </c>
      <c r="H35" s="105">
        <f t="shared" si="43"/>
        <v>0</v>
      </c>
      <c r="I35" s="146">
        <f t="shared" si="43"/>
        <v>0</v>
      </c>
      <c r="J35" s="146">
        <f t="shared" si="43"/>
        <v>0</v>
      </c>
      <c r="K35" s="145">
        <f t="shared" si="0"/>
        <v>0</v>
      </c>
      <c r="L35" s="145">
        <f t="shared" si="1"/>
        <v>0</v>
      </c>
      <c r="M35" s="147"/>
      <c r="N35" s="147"/>
      <c r="O35" s="147"/>
      <c r="P35" s="147"/>
      <c r="Q35" s="147"/>
    </row>
    <row r="36" spans="1:17" ht="12.75" hidden="1" customHeight="1">
      <c r="A36" s="113"/>
      <c r="B36" s="993" t="s">
        <v>243</v>
      </c>
      <c r="C36" s="948"/>
      <c r="D36" s="102" t="s">
        <v>244</v>
      </c>
      <c r="E36" s="103">
        <f t="shared" ref="E36:F36" si="44">SUM(E37:E39)</f>
        <v>0</v>
      </c>
      <c r="F36" s="103">
        <f t="shared" si="44"/>
        <v>0</v>
      </c>
      <c r="G36" s="104">
        <f t="shared" ref="G36:J36" si="45">SUM(G37:G39)</f>
        <v>0</v>
      </c>
      <c r="H36" s="105">
        <f t="shared" si="45"/>
        <v>0</v>
      </c>
      <c r="I36" s="146">
        <f t="shared" si="45"/>
        <v>0</v>
      </c>
      <c r="J36" s="146">
        <f t="shared" si="45"/>
        <v>0</v>
      </c>
      <c r="K36" s="145">
        <f t="shared" si="0"/>
        <v>0</v>
      </c>
      <c r="L36" s="145">
        <f t="shared" si="1"/>
        <v>0</v>
      </c>
      <c r="M36" s="149"/>
      <c r="N36" s="149"/>
      <c r="O36" s="149"/>
      <c r="P36" s="149"/>
      <c r="Q36" s="149"/>
    </row>
    <row r="37" spans="1:17" ht="12.75" hidden="1" customHeight="1">
      <c r="A37" s="113"/>
      <c r="B37" s="118"/>
      <c r="C37" s="116" t="s">
        <v>245</v>
      </c>
      <c r="D37" s="117" t="s">
        <v>246</v>
      </c>
      <c r="E37" s="103">
        <f t="shared" ref="E37:F37" si="46">SUM(E326)</f>
        <v>0</v>
      </c>
      <c r="F37" s="103">
        <f t="shared" si="46"/>
        <v>0</v>
      </c>
      <c r="G37" s="104">
        <f t="shared" ref="G37" si="47">SUM(G326)</f>
        <v>0</v>
      </c>
      <c r="H37" s="105">
        <f t="shared" ref="H37:J41" si="48">SUM(H326)</f>
        <v>0</v>
      </c>
      <c r="I37" s="146">
        <f t="shared" si="48"/>
        <v>0</v>
      </c>
      <c r="J37" s="146">
        <f t="shared" si="48"/>
        <v>0</v>
      </c>
      <c r="K37" s="145">
        <f t="shared" si="0"/>
        <v>0</v>
      </c>
      <c r="L37" s="145">
        <f t="shared" si="1"/>
        <v>0</v>
      </c>
      <c r="M37" s="149"/>
      <c r="N37" s="149"/>
      <c r="O37" s="149"/>
      <c r="P37" s="149"/>
      <c r="Q37" s="149"/>
    </row>
    <row r="38" spans="1:17" ht="12.75" hidden="1" customHeight="1">
      <c r="A38" s="113"/>
      <c r="B38" s="118"/>
      <c r="C38" s="116" t="s">
        <v>247</v>
      </c>
      <c r="D38" s="117" t="s">
        <v>248</v>
      </c>
      <c r="E38" s="103">
        <f t="shared" ref="E38:F41" si="49">SUM(E327)</f>
        <v>0</v>
      </c>
      <c r="F38" s="103">
        <f t="shared" si="49"/>
        <v>0</v>
      </c>
      <c r="G38" s="104">
        <f t="shared" ref="G38:G41" si="50">SUM(G327)</f>
        <v>0</v>
      </c>
      <c r="H38" s="105">
        <f t="shared" si="48"/>
        <v>0</v>
      </c>
      <c r="I38" s="146">
        <f t="shared" si="48"/>
        <v>0</v>
      </c>
      <c r="J38" s="146">
        <f t="shared" si="48"/>
        <v>0</v>
      </c>
      <c r="K38" s="145">
        <f t="shared" si="0"/>
        <v>0</v>
      </c>
      <c r="L38" s="145">
        <f t="shared" si="1"/>
        <v>0</v>
      </c>
      <c r="M38" s="147"/>
      <c r="N38" s="147"/>
      <c r="O38" s="147"/>
      <c r="P38" s="147"/>
      <c r="Q38" s="147"/>
    </row>
    <row r="39" spans="1:17" ht="12.75" hidden="1" customHeight="1">
      <c r="A39" s="113"/>
      <c r="B39" s="118"/>
      <c r="C39" s="116" t="s">
        <v>249</v>
      </c>
      <c r="D39" s="117" t="s">
        <v>250</v>
      </c>
      <c r="E39" s="103">
        <f t="shared" si="49"/>
        <v>0</v>
      </c>
      <c r="F39" s="103">
        <f t="shared" si="49"/>
        <v>0</v>
      </c>
      <c r="G39" s="104">
        <f t="shared" si="50"/>
        <v>0</v>
      </c>
      <c r="H39" s="105">
        <f t="shared" si="48"/>
        <v>0</v>
      </c>
      <c r="I39" s="146">
        <f t="shared" si="48"/>
        <v>0</v>
      </c>
      <c r="J39" s="146">
        <f t="shared" si="48"/>
        <v>0</v>
      </c>
      <c r="K39" s="145">
        <f t="shared" si="0"/>
        <v>0</v>
      </c>
      <c r="L39" s="145">
        <f t="shared" si="1"/>
        <v>0</v>
      </c>
      <c r="M39" s="147"/>
      <c r="N39" s="147"/>
      <c r="O39" s="147"/>
      <c r="P39" s="147"/>
      <c r="Q39" s="147"/>
    </row>
    <row r="40" spans="1:17" ht="12.75" hidden="1" customHeight="1">
      <c r="A40" s="113"/>
      <c r="B40" s="993" t="s">
        <v>251</v>
      </c>
      <c r="C40" s="948"/>
      <c r="D40" s="102" t="s">
        <v>252</v>
      </c>
      <c r="E40" s="103">
        <f t="shared" si="49"/>
        <v>0</v>
      </c>
      <c r="F40" s="103">
        <f t="shared" si="49"/>
        <v>0</v>
      </c>
      <c r="G40" s="104">
        <f t="shared" si="50"/>
        <v>0</v>
      </c>
      <c r="H40" s="105">
        <f t="shared" si="48"/>
        <v>0</v>
      </c>
      <c r="I40" s="146">
        <f t="shared" si="48"/>
        <v>0</v>
      </c>
      <c r="J40" s="146">
        <f t="shared" si="48"/>
        <v>0</v>
      </c>
      <c r="K40" s="145">
        <f t="shared" si="0"/>
        <v>0</v>
      </c>
      <c r="L40" s="145">
        <f t="shared" si="1"/>
        <v>0</v>
      </c>
      <c r="M40" s="149"/>
      <c r="N40" s="149"/>
      <c r="O40" s="149"/>
      <c r="P40" s="149"/>
      <c r="Q40" s="149"/>
    </row>
    <row r="41" spans="1:17" ht="12.75" hidden="1" customHeight="1">
      <c r="A41" s="113"/>
      <c r="B41" s="993" t="s">
        <v>253</v>
      </c>
      <c r="C41" s="948"/>
      <c r="D41" s="102" t="s">
        <v>254</v>
      </c>
      <c r="E41" s="103">
        <f t="shared" si="49"/>
        <v>0</v>
      </c>
      <c r="F41" s="103">
        <f t="shared" si="49"/>
        <v>0</v>
      </c>
      <c r="G41" s="104">
        <f t="shared" si="50"/>
        <v>0</v>
      </c>
      <c r="H41" s="105">
        <f t="shared" si="48"/>
        <v>0</v>
      </c>
      <c r="I41" s="146">
        <f t="shared" si="48"/>
        <v>0</v>
      </c>
      <c r="J41" s="146">
        <f t="shared" si="48"/>
        <v>0</v>
      </c>
      <c r="K41" s="145">
        <f t="shared" si="0"/>
        <v>0</v>
      </c>
      <c r="L41" s="145">
        <f t="shared" si="1"/>
        <v>0</v>
      </c>
      <c r="M41" s="149"/>
      <c r="N41" s="149"/>
      <c r="O41" s="149"/>
      <c r="P41" s="149"/>
      <c r="Q41" s="149"/>
    </row>
    <row r="42" spans="1:17" ht="12.75" customHeight="1">
      <c r="A42" s="990" t="s">
        <v>255</v>
      </c>
      <c r="B42" s="948"/>
      <c r="C42" s="948"/>
      <c r="D42" s="92" t="s">
        <v>256</v>
      </c>
      <c r="E42" s="93">
        <f t="shared" ref="E42:F42" si="51">SUM(E43,E67,E69,E72)</f>
        <v>102976.1</v>
      </c>
      <c r="F42" s="93">
        <f t="shared" si="51"/>
        <v>0</v>
      </c>
      <c r="G42" s="94">
        <f t="shared" ref="G42:J42" si="52">SUM(G43,G67,G69,G72)</f>
        <v>102976.1</v>
      </c>
      <c r="H42" s="96">
        <f t="shared" si="52"/>
        <v>45978</v>
      </c>
      <c r="I42" s="141">
        <f t="shared" si="52"/>
        <v>46471</v>
      </c>
      <c r="J42" s="141">
        <f t="shared" si="52"/>
        <v>46918</v>
      </c>
      <c r="K42" s="137">
        <f t="shared" si="0"/>
        <v>205952.2</v>
      </c>
      <c r="L42" s="137">
        <f t="shared" si="1"/>
        <v>102976.1</v>
      </c>
      <c r="M42" s="148"/>
      <c r="N42" s="148"/>
      <c r="O42" s="148"/>
      <c r="P42" s="148"/>
      <c r="Q42" s="139">
        <f t="shared" ref="Q42:Q46" si="53">E42-G42</f>
        <v>0</v>
      </c>
    </row>
    <row r="43" spans="1:17" ht="12.75" customHeight="1">
      <c r="A43" s="990" t="s">
        <v>44</v>
      </c>
      <c r="B43" s="948"/>
      <c r="C43" s="948"/>
      <c r="D43" s="92" t="s">
        <v>257</v>
      </c>
      <c r="E43" s="93">
        <f t="shared" ref="E43:F43" si="54">SUM(E44,E63,E64,E65,E66)</f>
        <v>101379</v>
      </c>
      <c r="F43" s="93">
        <f t="shared" si="54"/>
        <v>0</v>
      </c>
      <c r="G43" s="94">
        <f t="shared" ref="G43:J43" si="55">SUM(G44,G63,G64,G65,G66)</f>
        <v>101379</v>
      </c>
      <c r="H43" s="96">
        <f t="shared" si="55"/>
        <v>45978</v>
      </c>
      <c r="I43" s="141">
        <f t="shared" si="55"/>
        <v>46471</v>
      </c>
      <c r="J43" s="141">
        <f t="shared" si="55"/>
        <v>46918</v>
      </c>
      <c r="K43" s="137">
        <f t="shared" si="0"/>
        <v>202758</v>
      </c>
      <c r="L43" s="137">
        <f t="shared" si="1"/>
        <v>101379</v>
      </c>
      <c r="M43" s="148"/>
      <c r="N43" s="148"/>
      <c r="O43" s="148"/>
      <c r="P43" s="148"/>
      <c r="Q43" s="139">
        <f t="shared" si="53"/>
        <v>0</v>
      </c>
    </row>
    <row r="44" spans="1:17" ht="40.5" customHeight="1">
      <c r="A44" s="119"/>
      <c r="B44" s="994" t="s">
        <v>258</v>
      </c>
      <c r="C44" s="948"/>
      <c r="D44" s="108" t="s">
        <v>259</v>
      </c>
      <c r="E44" s="109">
        <f>SUM(E45,E46,E48,E56,E57,E60:E61,E62,E47,E58:E59)</f>
        <v>59919</v>
      </c>
      <c r="F44" s="109">
        <f>SUM(F45,F46,F48,F56,F57,F60:F61,F62,F47,F58:F59)</f>
        <v>0</v>
      </c>
      <c r="G44" s="110">
        <f>SUM(G45,G46,G48,G56,G57,G60:G61,G62,G47,G58:G59)</f>
        <v>59919</v>
      </c>
      <c r="H44" s="105">
        <f>SUM(H45,H46,H48,H56,H57,H60,H62)</f>
        <v>28553</v>
      </c>
      <c r="I44" s="146">
        <f>SUM(I45,I46,I48,I56,I57,I60,I62)</f>
        <v>28553</v>
      </c>
      <c r="J44" s="146">
        <f>SUM(J45,J46,J48,J56,J57,J60,J62)</f>
        <v>28553</v>
      </c>
      <c r="K44" s="137">
        <f t="shared" si="0"/>
        <v>119838</v>
      </c>
      <c r="L44" s="137">
        <f t="shared" si="1"/>
        <v>59919</v>
      </c>
      <c r="M44" s="148"/>
      <c r="N44" s="148"/>
      <c r="O44" s="148"/>
      <c r="P44" s="148"/>
      <c r="Q44" s="139">
        <f t="shared" si="53"/>
        <v>0</v>
      </c>
    </row>
    <row r="45" spans="1:17" ht="38.25" customHeight="1">
      <c r="A45" s="119"/>
      <c r="B45" s="120"/>
      <c r="C45" s="107" t="s">
        <v>260</v>
      </c>
      <c r="D45" s="108"/>
      <c r="E45" s="109">
        <f t="shared" ref="E45:F65" si="56">SUM(E337)</f>
        <v>26238</v>
      </c>
      <c r="F45" s="109">
        <f t="shared" si="56"/>
        <v>0</v>
      </c>
      <c r="G45" s="110">
        <f t="shared" ref="G45:J60" si="57">SUM(G337)</f>
        <v>26238</v>
      </c>
      <c r="H45" s="105">
        <f t="shared" si="57"/>
        <v>10543</v>
      </c>
      <c r="I45" s="146">
        <f t="shared" si="57"/>
        <v>10543</v>
      </c>
      <c r="J45" s="146">
        <f t="shared" si="57"/>
        <v>10543</v>
      </c>
      <c r="K45" s="137">
        <f t="shared" si="0"/>
        <v>52476</v>
      </c>
      <c r="L45" s="137">
        <f t="shared" si="1"/>
        <v>26238</v>
      </c>
      <c r="M45" s="148"/>
      <c r="N45" s="148"/>
      <c r="O45" s="148"/>
      <c r="P45" s="148"/>
      <c r="Q45" s="139">
        <f t="shared" si="53"/>
        <v>0</v>
      </c>
    </row>
    <row r="46" spans="1:17" ht="38.25" customHeight="1">
      <c r="A46" s="119"/>
      <c r="B46" s="120"/>
      <c r="C46" s="107" t="s">
        <v>261</v>
      </c>
      <c r="D46" s="108"/>
      <c r="E46" s="109">
        <f t="shared" si="56"/>
        <v>18129</v>
      </c>
      <c r="F46" s="109">
        <f t="shared" si="56"/>
        <v>0</v>
      </c>
      <c r="G46" s="110">
        <f t="shared" si="57"/>
        <v>18129</v>
      </c>
      <c r="H46" s="105">
        <f t="shared" si="57"/>
        <v>9993</v>
      </c>
      <c r="I46" s="146">
        <f t="shared" si="57"/>
        <v>9993</v>
      </c>
      <c r="J46" s="146">
        <f t="shared" si="57"/>
        <v>9993</v>
      </c>
      <c r="K46" s="137">
        <f t="shared" si="0"/>
        <v>36258</v>
      </c>
      <c r="L46" s="137">
        <f t="shared" si="1"/>
        <v>18129</v>
      </c>
      <c r="M46" s="148"/>
      <c r="N46" s="148"/>
      <c r="O46" s="148"/>
      <c r="P46" s="148"/>
      <c r="Q46" s="139">
        <f t="shared" si="53"/>
        <v>0</v>
      </c>
    </row>
    <row r="47" spans="1:17" ht="38.25" customHeight="1">
      <c r="A47" s="119"/>
      <c r="B47" s="120"/>
      <c r="C47" s="107" t="s">
        <v>262</v>
      </c>
      <c r="D47" s="108"/>
      <c r="E47" s="109">
        <f t="shared" si="56"/>
        <v>3432</v>
      </c>
      <c r="F47" s="109">
        <f t="shared" si="56"/>
        <v>0</v>
      </c>
      <c r="G47" s="104">
        <f t="shared" si="57"/>
        <v>3432</v>
      </c>
      <c r="H47" s="105">
        <f t="shared" si="57"/>
        <v>9993</v>
      </c>
      <c r="I47" s="146">
        <f t="shared" si="57"/>
        <v>9993</v>
      </c>
      <c r="J47" s="146">
        <f t="shared" si="57"/>
        <v>9993</v>
      </c>
      <c r="K47" s="145">
        <f t="shared" si="0"/>
        <v>6864</v>
      </c>
      <c r="L47" s="145">
        <f t="shared" si="1"/>
        <v>3432</v>
      </c>
      <c r="M47" s="149"/>
      <c r="N47" s="149"/>
      <c r="O47" s="149"/>
      <c r="P47" s="149"/>
      <c r="Q47" s="149"/>
    </row>
    <row r="48" spans="1:17" ht="38.25" customHeight="1">
      <c r="A48" s="119"/>
      <c r="B48" s="120"/>
      <c r="C48" s="107" t="s">
        <v>263</v>
      </c>
      <c r="D48" s="108"/>
      <c r="E48" s="109">
        <f t="shared" si="56"/>
        <v>1612</v>
      </c>
      <c r="F48" s="109">
        <f t="shared" si="56"/>
        <v>0</v>
      </c>
      <c r="G48" s="110">
        <f t="shared" si="57"/>
        <v>1612</v>
      </c>
      <c r="H48" s="105">
        <f t="shared" si="57"/>
        <v>0</v>
      </c>
      <c r="I48" s="146">
        <f t="shared" si="57"/>
        <v>0</v>
      </c>
      <c r="J48" s="146">
        <f t="shared" si="57"/>
        <v>0</v>
      </c>
      <c r="K48" s="137">
        <f t="shared" si="0"/>
        <v>3224</v>
      </c>
      <c r="L48" s="137">
        <f t="shared" si="1"/>
        <v>1612</v>
      </c>
      <c r="M48" s="148"/>
      <c r="N48" s="148"/>
      <c r="O48" s="148"/>
      <c r="P48" s="148"/>
      <c r="Q48" s="139">
        <f t="shared" ref="Q48:Q49" si="58">E48-G48</f>
        <v>0</v>
      </c>
    </row>
    <row r="49" spans="1:17" ht="38.25" hidden="1" customHeight="1">
      <c r="A49" s="119"/>
      <c r="B49" s="120"/>
      <c r="C49" s="107" t="s">
        <v>264</v>
      </c>
      <c r="D49" s="108"/>
      <c r="E49" s="109">
        <f t="shared" si="56"/>
        <v>0</v>
      </c>
      <c r="F49" s="109">
        <f t="shared" si="56"/>
        <v>0</v>
      </c>
      <c r="G49" s="110">
        <f t="shared" si="57"/>
        <v>0</v>
      </c>
      <c r="H49" s="105"/>
      <c r="I49" s="146"/>
      <c r="J49" s="146"/>
      <c r="K49" s="137">
        <f t="shared" si="0"/>
        <v>0</v>
      </c>
      <c r="L49" s="137">
        <f t="shared" si="1"/>
        <v>0</v>
      </c>
      <c r="M49" s="148"/>
      <c r="N49" s="148"/>
      <c r="O49" s="148"/>
      <c r="P49" s="148"/>
      <c r="Q49" s="139">
        <f t="shared" si="58"/>
        <v>0</v>
      </c>
    </row>
    <row r="50" spans="1:17" ht="51" hidden="1" customHeight="1">
      <c r="A50" s="113"/>
      <c r="B50" s="121"/>
      <c r="C50" s="101" t="s">
        <v>265</v>
      </c>
      <c r="D50" s="122"/>
      <c r="E50" s="103">
        <f t="shared" si="56"/>
        <v>0</v>
      </c>
      <c r="F50" s="103">
        <f t="shared" si="56"/>
        <v>0</v>
      </c>
      <c r="G50" s="104">
        <f t="shared" si="57"/>
        <v>0</v>
      </c>
      <c r="H50" s="105">
        <f t="shared" si="57"/>
        <v>286</v>
      </c>
      <c r="I50" s="146">
        <f t="shared" si="57"/>
        <v>294</v>
      </c>
      <c r="J50" s="146">
        <f t="shared" si="57"/>
        <v>385</v>
      </c>
      <c r="K50" s="145">
        <f t="shared" si="0"/>
        <v>0</v>
      </c>
      <c r="L50" s="145">
        <f t="shared" si="1"/>
        <v>0</v>
      </c>
      <c r="M50" s="149"/>
      <c r="N50" s="149"/>
      <c r="O50" s="149"/>
      <c r="P50" s="149"/>
      <c r="Q50" s="149"/>
    </row>
    <row r="51" spans="1:17" ht="38.25" customHeight="1">
      <c r="A51" s="113"/>
      <c r="B51" s="121"/>
      <c r="C51" s="101" t="s">
        <v>266</v>
      </c>
      <c r="D51" s="122"/>
      <c r="E51" s="103">
        <f t="shared" si="56"/>
        <v>1612</v>
      </c>
      <c r="F51" s="103">
        <f t="shared" si="56"/>
        <v>0</v>
      </c>
      <c r="G51" s="104">
        <f t="shared" si="57"/>
        <v>1612</v>
      </c>
      <c r="H51" s="105">
        <f t="shared" si="57"/>
        <v>0</v>
      </c>
      <c r="I51" s="146">
        <f t="shared" si="57"/>
        <v>0</v>
      </c>
      <c r="J51" s="146">
        <f t="shared" si="57"/>
        <v>0</v>
      </c>
      <c r="K51" s="145">
        <f t="shared" si="0"/>
        <v>3224</v>
      </c>
      <c r="L51" s="145">
        <f t="shared" si="1"/>
        <v>1612</v>
      </c>
      <c r="M51" s="149"/>
      <c r="N51" s="149"/>
      <c r="O51" s="149"/>
      <c r="P51" s="149"/>
      <c r="Q51" s="149"/>
    </row>
    <row r="52" spans="1:17" ht="25.5" hidden="1" customHeight="1">
      <c r="A52" s="113"/>
      <c r="B52" s="121"/>
      <c r="C52" s="101" t="s">
        <v>267</v>
      </c>
      <c r="D52" s="122"/>
      <c r="E52" s="123">
        <f t="shared" si="56"/>
        <v>0</v>
      </c>
      <c r="F52" s="123">
        <f t="shared" si="56"/>
        <v>0</v>
      </c>
      <c r="G52" s="104">
        <f t="shared" si="57"/>
        <v>0</v>
      </c>
      <c r="H52" s="105"/>
      <c r="I52" s="146"/>
      <c r="J52" s="146"/>
      <c r="K52" s="145">
        <f t="shared" si="0"/>
        <v>0</v>
      </c>
      <c r="L52" s="145">
        <f t="shared" si="1"/>
        <v>0</v>
      </c>
      <c r="M52" s="149"/>
      <c r="N52" s="149"/>
      <c r="O52" s="149"/>
      <c r="P52" s="149"/>
      <c r="Q52" s="149"/>
    </row>
    <row r="53" spans="1:17" ht="76.5" hidden="1" customHeight="1">
      <c r="A53" s="124"/>
      <c r="B53" s="125"/>
      <c r="C53" s="126" t="s">
        <v>268</v>
      </c>
      <c r="D53" s="127"/>
      <c r="E53" s="123">
        <f t="shared" si="56"/>
        <v>0</v>
      </c>
      <c r="F53" s="123">
        <f t="shared" si="56"/>
        <v>0</v>
      </c>
      <c r="G53" s="128">
        <f t="shared" si="57"/>
        <v>0</v>
      </c>
      <c r="H53" s="129"/>
      <c r="I53" s="152"/>
      <c r="J53" s="152"/>
      <c r="K53" s="153">
        <f t="shared" si="0"/>
        <v>0</v>
      </c>
      <c r="L53" s="153">
        <f t="shared" si="1"/>
        <v>0</v>
      </c>
      <c r="M53" s="151"/>
      <c r="N53" s="151"/>
      <c r="O53" s="151"/>
      <c r="P53" s="151"/>
      <c r="Q53" s="151"/>
    </row>
    <row r="54" spans="1:17" ht="51" hidden="1" customHeight="1">
      <c r="A54" s="124"/>
      <c r="B54" s="125"/>
      <c r="C54" s="126" t="s">
        <v>269</v>
      </c>
      <c r="D54" s="127"/>
      <c r="E54" s="123">
        <f t="shared" si="56"/>
        <v>0</v>
      </c>
      <c r="F54" s="123">
        <f t="shared" si="56"/>
        <v>0</v>
      </c>
      <c r="G54" s="128">
        <f t="shared" si="57"/>
        <v>0</v>
      </c>
      <c r="H54" s="129"/>
      <c r="I54" s="152"/>
      <c r="J54" s="152"/>
      <c r="K54" s="153">
        <f t="shared" si="0"/>
        <v>0</v>
      </c>
      <c r="L54" s="153">
        <f t="shared" si="1"/>
        <v>0</v>
      </c>
      <c r="M54" s="151"/>
      <c r="N54" s="151"/>
      <c r="O54" s="151"/>
      <c r="P54" s="151"/>
      <c r="Q54" s="151"/>
    </row>
    <row r="55" spans="1:17" ht="38.25" hidden="1" customHeight="1">
      <c r="A55" s="124"/>
      <c r="B55" s="125"/>
      <c r="C55" s="101" t="s">
        <v>270</v>
      </c>
      <c r="D55" s="127"/>
      <c r="E55" s="103">
        <f t="shared" si="56"/>
        <v>0</v>
      </c>
      <c r="F55" s="103">
        <f t="shared" si="56"/>
        <v>0</v>
      </c>
      <c r="G55" s="104">
        <f t="shared" si="57"/>
        <v>0</v>
      </c>
      <c r="H55" s="105">
        <f t="shared" si="57"/>
        <v>0</v>
      </c>
      <c r="I55" s="146">
        <f t="shared" si="57"/>
        <v>0</v>
      </c>
      <c r="J55" s="146">
        <f t="shared" si="57"/>
        <v>0</v>
      </c>
      <c r="K55" s="145">
        <f t="shared" si="0"/>
        <v>0</v>
      </c>
      <c r="L55" s="145">
        <f t="shared" si="1"/>
        <v>0</v>
      </c>
      <c r="M55" s="151"/>
      <c r="N55" s="151"/>
      <c r="O55" s="151"/>
      <c r="P55" s="151"/>
      <c r="Q55" s="151"/>
    </row>
    <row r="56" spans="1:17" ht="38.25" hidden="1" customHeight="1">
      <c r="A56" s="113"/>
      <c r="B56" s="121"/>
      <c r="C56" s="101" t="s">
        <v>271</v>
      </c>
      <c r="D56" s="122"/>
      <c r="E56" s="103">
        <f t="shared" si="56"/>
        <v>0</v>
      </c>
      <c r="F56" s="103">
        <f t="shared" si="56"/>
        <v>0</v>
      </c>
      <c r="G56" s="104">
        <f t="shared" si="57"/>
        <v>0</v>
      </c>
      <c r="H56" s="105">
        <f t="shared" si="57"/>
        <v>8017</v>
      </c>
      <c r="I56" s="146">
        <f t="shared" si="57"/>
        <v>8017</v>
      </c>
      <c r="J56" s="146">
        <f t="shared" si="57"/>
        <v>8017</v>
      </c>
      <c r="K56" s="145">
        <f t="shared" si="0"/>
        <v>0</v>
      </c>
      <c r="L56" s="145">
        <f t="shared" si="1"/>
        <v>0</v>
      </c>
      <c r="M56" s="149"/>
      <c r="N56" s="149"/>
      <c r="O56" s="149"/>
      <c r="P56" s="149"/>
      <c r="Q56" s="149"/>
    </row>
    <row r="57" spans="1:17" ht="38.25" hidden="1" customHeight="1">
      <c r="A57" s="119"/>
      <c r="B57" s="120"/>
      <c r="C57" s="107" t="s">
        <v>272</v>
      </c>
      <c r="D57" s="108"/>
      <c r="E57" s="109">
        <f t="shared" si="56"/>
        <v>0</v>
      </c>
      <c r="F57" s="109">
        <f t="shared" si="56"/>
        <v>0</v>
      </c>
      <c r="G57" s="110">
        <f t="shared" si="57"/>
        <v>0</v>
      </c>
      <c r="H57" s="105">
        <f t="shared" si="57"/>
        <v>0</v>
      </c>
      <c r="I57" s="146">
        <f t="shared" si="57"/>
        <v>0</v>
      </c>
      <c r="J57" s="146">
        <f t="shared" si="57"/>
        <v>0</v>
      </c>
      <c r="K57" s="137">
        <f t="shared" si="0"/>
        <v>0</v>
      </c>
      <c r="L57" s="137">
        <f t="shared" si="1"/>
        <v>0</v>
      </c>
      <c r="M57" s="148"/>
      <c r="N57" s="148"/>
      <c r="O57" s="148"/>
      <c r="P57" s="148"/>
      <c r="Q57" s="139">
        <f t="shared" ref="Q57:Q61" si="59">E57-G57</f>
        <v>0</v>
      </c>
    </row>
    <row r="58" spans="1:17" ht="25.5" customHeight="1">
      <c r="A58" s="119"/>
      <c r="B58" s="120"/>
      <c r="C58" s="107" t="s">
        <v>273</v>
      </c>
      <c r="D58" s="108"/>
      <c r="E58" s="109">
        <f t="shared" si="56"/>
        <v>8081</v>
      </c>
      <c r="F58" s="109">
        <f t="shared" si="56"/>
        <v>0</v>
      </c>
      <c r="G58" s="110">
        <f t="shared" si="57"/>
        <v>8081</v>
      </c>
      <c r="H58" s="105"/>
      <c r="I58" s="146"/>
      <c r="J58" s="146"/>
      <c r="K58" s="137">
        <f t="shared" si="0"/>
        <v>16162</v>
      </c>
      <c r="L58" s="137">
        <f t="shared" si="1"/>
        <v>8081</v>
      </c>
      <c r="M58" s="148"/>
      <c r="N58" s="148"/>
      <c r="O58" s="148"/>
      <c r="P58" s="148"/>
      <c r="Q58" s="139">
        <f t="shared" si="59"/>
        <v>0</v>
      </c>
    </row>
    <row r="59" spans="1:17" ht="25.5" customHeight="1">
      <c r="A59" s="119"/>
      <c r="B59" s="120"/>
      <c r="C59" s="107" t="s">
        <v>274</v>
      </c>
      <c r="D59" s="108"/>
      <c r="E59" s="109">
        <f t="shared" si="56"/>
        <v>2427</v>
      </c>
      <c r="F59" s="109">
        <f t="shared" si="56"/>
        <v>0</v>
      </c>
      <c r="G59" s="110">
        <f t="shared" si="57"/>
        <v>2427</v>
      </c>
      <c r="H59" s="105">
        <f t="shared" si="57"/>
        <v>0</v>
      </c>
      <c r="I59" s="146">
        <f t="shared" si="57"/>
        <v>0</v>
      </c>
      <c r="J59" s="146">
        <f t="shared" si="57"/>
        <v>0</v>
      </c>
      <c r="K59" s="137">
        <f t="shared" si="0"/>
        <v>4854</v>
      </c>
      <c r="L59" s="137">
        <f t="shared" si="1"/>
        <v>2427</v>
      </c>
      <c r="M59" s="148"/>
      <c r="N59" s="148"/>
      <c r="O59" s="148"/>
      <c r="P59" s="148"/>
      <c r="Q59" s="139">
        <f t="shared" si="59"/>
        <v>0</v>
      </c>
    </row>
    <row r="60" spans="1:17" ht="38.25" hidden="1" customHeight="1">
      <c r="A60" s="119"/>
      <c r="B60" s="120"/>
      <c r="C60" s="107" t="s">
        <v>275</v>
      </c>
      <c r="D60" s="108"/>
      <c r="E60" s="109">
        <f t="shared" si="56"/>
        <v>0</v>
      </c>
      <c r="F60" s="109">
        <f t="shared" si="56"/>
        <v>0</v>
      </c>
      <c r="G60" s="110">
        <f t="shared" si="57"/>
        <v>0</v>
      </c>
      <c r="H60" s="105">
        <f t="shared" si="57"/>
        <v>0</v>
      </c>
      <c r="I60" s="146">
        <f t="shared" si="57"/>
        <v>0</v>
      </c>
      <c r="J60" s="146">
        <f t="shared" si="57"/>
        <v>0</v>
      </c>
      <c r="K60" s="137">
        <f t="shared" si="0"/>
        <v>0</v>
      </c>
      <c r="L60" s="137">
        <f t="shared" si="1"/>
        <v>0</v>
      </c>
      <c r="M60" s="148"/>
      <c r="N60" s="148"/>
      <c r="O60" s="148"/>
      <c r="P60" s="148"/>
      <c r="Q60" s="139">
        <f t="shared" si="59"/>
        <v>0</v>
      </c>
    </row>
    <row r="61" spans="1:17" ht="56.25" hidden="1" customHeight="1">
      <c r="A61" s="119"/>
      <c r="B61" s="120"/>
      <c r="C61" s="107" t="s">
        <v>276</v>
      </c>
      <c r="D61" s="108"/>
      <c r="E61" s="109">
        <f t="shared" si="56"/>
        <v>0</v>
      </c>
      <c r="F61" s="109">
        <f t="shared" si="56"/>
        <v>0</v>
      </c>
      <c r="G61" s="110">
        <f t="shared" ref="G61:J65" si="60">SUM(G353)</f>
        <v>0</v>
      </c>
      <c r="H61" s="105"/>
      <c r="I61" s="146"/>
      <c r="J61" s="146"/>
      <c r="K61" s="137">
        <f t="shared" si="0"/>
        <v>0</v>
      </c>
      <c r="L61" s="137">
        <f t="shared" si="1"/>
        <v>0</v>
      </c>
      <c r="M61" s="148"/>
      <c r="N61" s="148"/>
      <c r="O61" s="148"/>
      <c r="P61" s="148"/>
      <c r="Q61" s="139">
        <f t="shared" si="59"/>
        <v>0</v>
      </c>
    </row>
    <row r="62" spans="1:17" ht="38.25" hidden="1" customHeight="1">
      <c r="A62" s="113"/>
      <c r="B62" s="121"/>
      <c r="C62" s="101" t="s">
        <v>277</v>
      </c>
      <c r="D62" s="102"/>
      <c r="E62" s="103">
        <f t="shared" si="56"/>
        <v>0</v>
      </c>
      <c r="F62" s="103">
        <f t="shared" si="56"/>
        <v>0</v>
      </c>
      <c r="G62" s="104">
        <f t="shared" si="60"/>
        <v>0</v>
      </c>
      <c r="H62" s="105">
        <f t="shared" si="60"/>
        <v>0</v>
      </c>
      <c r="I62" s="146">
        <f t="shared" si="60"/>
        <v>0</v>
      </c>
      <c r="J62" s="146">
        <f t="shared" si="60"/>
        <v>0</v>
      </c>
      <c r="K62" s="145">
        <f t="shared" si="0"/>
        <v>0</v>
      </c>
      <c r="L62" s="145">
        <f t="shared" si="1"/>
        <v>0</v>
      </c>
      <c r="M62" s="149"/>
      <c r="N62" s="149"/>
      <c r="O62" s="149"/>
      <c r="P62" s="149"/>
      <c r="Q62" s="149"/>
    </row>
    <row r="63" spans="1:17" ht="36.75" hidden="1" customHeight="1">
      <c r="A63" s="113"/>
      <c r="B63" s="993" t="s">
        <v>278</v>
      </c>
      <c r="C63" s="948"/>
      <c r="D63" s="102" t="s">
        <v>279</v>
      </c>
      <c r="E63" s="103">
        <f t="shared" si="56"/>
        <v>0</v>
      </c>
      <c r="F63" s="103">
        <f t="shared" si="56"/>
        <v>0</v>
      </c>
      <c r="G63" s="104">
        <f t="shared" si="60"/>
        <v>0</v>
      </c>
      <c r="H63" s="105">
        <f t="shared" si="60"/>
        <v>0</v>
      </c>
      <c r="I63" s="146">
        <f t="shared" si="60"/>
        <v>0</v>
      </c>
      <c r="J63" s="146">
        <f t="shared" si="60"/>
        <v>0</v>
      </c>
      <c r="K63" s="145">
        <f t="shared" si="0"/>
        <v>0</v>
      </c>
      <c r="L63" s="145">
        <f t="shared" si="1"/>
        <v>0</v>
      </c>
      <c r="M63" s="149"/>
      <c r="N63" s="149"/>
      <c r="O63" s="149"/>
      <c r="P63" s="149"/>
      <c r="Q63" s="149"/>
    </row>
    <row r="64" spans="1:17" ht="27.75" customHeight="1">
      <c r="A64" s="119"/>
      <c r="B64" s="994" t="s">
        <v>280</v>
      </c>
      <c r="C64" s="948"/>
      <c r="D64" s="108" t="s">
        <v>281</v>
      </c>
      <c r="E64" s="109">
        <f t="shared" si="56"/>
        <v>16267</v>
      </c>
      <c r="F64" s="109">
        <f t="shared" si="56"/>
        <v>0</v>
      </c>
      <c r="G64" s="110">
        <f t="shared" si="60"/>
        <v>16267</v>
      </c>
      <c r="H64" s="130">
        <f t="shared" si="60"/>
        <v>7835</v>
      </c>
      <c r="I64" s="154">
        <f t="shared" si="60"/>
        <v>8054</v>
      </c>
      <c r="J64" s="154">
        <f t="shared" si="60"/>
        <v>8255</v>
      </c>
      <c r="K64" s="137">
        <f t="shared" si="0"/>
        <v>32534</v>
      </c>
      <c r="L64" s="137">
        <f t="shared" si="1"/>
        <v>16267</v>
      </c>
      <c r="M64" s="148"/>
      <c r="N64" s="148"/>
      <c r="O64" s="148"/>
      <c r="P64" s="148"/>
      <c r="Q64" s="139">
        <f t="shared" ref="Q64:Q65" si="61">E64-G64</f>
        <v>0</v>
      </c>
    </row>
    <row r="65" spans="1:17" ht="27" customHeight="1">
      <c r="A65" s="119"/>
      <c r="B65" s="994" t="s">
        <v>282</v>
      </c>
      <c r="C65" s="948"/>
      <c r="D65" s="108" t="s">
        <v>283</v>
      </c>
      <c r="E65" s="109">
        <f t="shared" si="56"/>
        <v>25193</v>
      </c>
      <c r="F65" s="109">
        <f t="shared" si="56"/>
        <v>0</v>
      </c>
      <c r="G65" s="110">
        <f t="shared" si="60"/>
        <v>25193</v>
      </c>
      <c r="H65" s="105">
        <f t="shared" si="60"/>
        <v>9590</v>
      </c>
      <c r="I65" s="146">
        <f t="shared" si="60"/>
        <v>9864</v>
      </c>
      <c r="J65" s="146">
        <f t="shared" si="60"/>
        <v>10110</v>
      </c>
      <c r="K65" s="137">
        <f t="shared" si="0"/>
        <v>50386</v>
      </c>
      <c r="L65" s="137">
        <f t="shared" si="1"/>
        <v>25193</v>
      </c>
      <c r="M65" s="148"/>
      <c r="N65" s="148"/>
      <c r="O65" s="148"/>
      <c r="P65" s="148"/>
      <c r="Q65" s="139">
        <f t="shared" si="61"/>
        <v>0</v>
      </c>
    </row>
    <row r="66" spans="1:17" ht="29.25" hidden="1" customHeight="1">
      <c r="A66" s="113"/>
      <c r="B66" s="993" t="s">
        <v>284</v>
      </c>
      <c r="C66" s="948"/>
      <c r="D66" s="102" t="s">
        <v>285</v>
      </c>
      <c r="E66" s="103">
        <f t="shared" ref="E66:F66" si="62">SUM(E452)</f>
        <v>0</v>
      </c>
      <c r="F66" s="103">
        <f t="shared" si="62"/>
        <v>0</v>
      </c>
      <c r="G66" s="104">
        <f t="shared" ref="G66:J66" si="63">SUM(G452)</f>
        <v>0</v>
      </c>
      <c r="H66" s="105">
        <f t="shared" si="63"/>
        <v>0</v>
      </c>
      <c r="I66" s="146">
        <f t="shared" si="63"/>
        <v>0</v>
      </c>
      <c r="J66" s="146">
        <f t="shared" si="63"/>
        <v>0</v>
      </c>
      <c r="K66" s="145">
        <f t="shared" si="0"/>
        <v>0</v>
      </c>
      <c r="L66" s="145">
        <f t="shared" si="1"/>
        <v>0</v>
      </c>
      <c r="M66" s="149"/>
      <c r="N66" s="149"/>
      <c r="O66" s="149"/>
      <c r="P66" s="149"/>
      <c r="Q66" s="149"/>
    </row>
    <row r="67" spans="1:17" ht="12.75" hidden="1" customHeight="1">
      <c r="A67" s="989" t="s">
        <v>286</v>
      </c>
      <c r="B67" s="948"/>
      <c r="C67" s="948"/>
      <c r="D67" s="97" t="s">
        <v>287</v>
      </c>
      <c r="E67" s="98">
        <f t="shared" ref="E67:F67" si="64">SUM(E68)</f>
        <v>0</v>
      </c>
      <c r="F67" s="98">
        <f t="shared" si="64"/>
        <v>0</v>
      </c>
      <c r="G67" s="99">
        <f t="shared" ref="G67:J67" si="65">SUM(G68)</f>
        <v>0</v>
      </c>
      <c r="H67" s="96">
        <f t="shared" si="65"/>
        <v>0</v>
      </c>
      <c r="I67" s="141">
        <f t="shared" si="65"/>
        <v>0</v>
      </c>
      <c r="J67" s="141">
        <f t="shared" si="65"/>
        <v>0</v>
      </c>
      <c r="K67" s="145">
        <f t="shared" si="0"/>
        <v>0</v>
      </c>
      <c r="L67" s="145">
        <f t="shared" si="1"/>
        <v>0</v>
      </c>
      <c r="M67" s="149"/>
      <c r="N67" s="149"/>
      <c r="O67" s="149"/>
      <c r="P67" s="149"/>
      <c r="Q67" s="149"/>
    </row>
    <row r="68" spans="1:17" ht="12.75" hidden="1" customHeight="1">
      <c r="A68" s="157"/>
      <c r="B68" s="993" t="s">
        <v>288</v>
      </c>
      <c r="C68" s="948"/>
      <c r="D68" s="102" t="s">
        <v>289</v>
      </c>
      <c r="E68" s="103">
        <f t="shared" ref="E68:F68" si="66">SUM(E359)</f>
        <v>0</v>
      </c>
      <c r="F68" s="103">
        <f t="shared" si="66"/>
        <v>0</v>
      </c>
      <c r="G68" s="104">
        <f t="shared" ref="G68:J68" si="67">SUM(G359)</f>
        <v>0</v>
      </c>
      <c r="H68" s="105">
        <f t="shared" si="67"/>
        <v>0</v>
      </c>
      <c r="I68" s="146">
        <f t="shared" si="67"/>
        <v>0</v>
      </c>
      <c r="J68" s="146">
        <f t="shared" si="67"/>
        <v>0</v>
      </c>
      <c r="K68" s="145">
        <f t="shared" si="0"/>
        <v>0</v>
      </c>
      <c r="L68" s="145">
        <f t="shared" si="1"/>
        <v>0</v>
      </c>
      <c r="M68" s="149"/>
      <c r="N68" s="149"/>
      <c r="O68" s="149"/>
      <c r="P68" s="149"/>
      <c r="Q68" s="149"/>
    </row>
    <row r="69" spans="1:17" ht="12.75" hidden="1" customHeight="1">
      <c r="A69" s="989" t="s">
        <v>48</v>
      </c>
      <c r="B69" s="948"/>
      <c r="C69" s="948"/>
      <c r="D69" s="97" t="s">
        <v>290</v>
      </c>
      <c r="E69" s="98">
        <f t="shared" ref="E69:F69" si="68">SUM(E70:E71)</f>
        <v>0</v>
      </c>
      <c r="F69" s="98">
        <f t="shared" si="68"/>
        <v>0</v>
      </c>
      <c r="G69" s="99">
        <f t="shared" ref="G69:J69" si="69">SUM(G70:G71)</f>
        <v>0</v>
      </c>
      <c r="H69" s="96">
        <f t="shared" si="69"/>
        <v>0</v>
      </c>
      <c r="I69" s="141">
        <f t="shared" si="69"/>
        <v>0</v>
      </c>
      <c r="J69" s="141">
        <f t="shared" si="69"/>
        <v>0</v>
      </c>
      <c r="K69" s="145">
        <f t="shared" si="0"/>
        <v>0</v>
      </c>
      <c r="L69" s="145">
        <f t="shared" si="1"/>
        <v>0</v>
      </c>
      <c r="M69" s="149"/>
      <c r="N69" s="149"/>
      <c r="O69" s="149"/>
      <c r="P69" s="149"/>
      <c r="Q69" s="149"/>
    </row>
    <row r="70" spans="1:17" ht="12.75" hidden="1" customHeight="1">
      <c r="A70" s="113"/>
      <c r="B70" s="993" t="s">
        <v>291</v>
      </c>
      <c r="C70" s="948"/>
      <c r="D70" s="102" t="s">
        <v>292</v>
      </c>
      <c r="E70" s="103">
        <f t="shared" ref="E70:F71" si="70">SUM(E361)</f>
        <v>0</v>
      </c>
      <c r="F70" s="103">
        <f t="shared" si="70"/>
        <v>0</v>
      </c>
      <c r="G70" s="104">
        <f t="shared" ref="G70:G71" si="71">SUM(G361)</f>
        <v>0</v>
      </c>
      <c r="H70" s="105">
        <f t="shared" ref="H70:J71" si="72">SUM(H361)</f>
        <v>0</v>
      </c>
      <c r="I70" s="146">
        <f t="shared" si="72"/>
        <v>0</v>
      </c>
      <c r="J70" s="146">
        <f t="shared" si="72"/>
        <v>0</v>
      </c>
      <c r="K70" s="145">
        <f t="shared" si="0"/>
        <v>0</v>
      </c>
      <c r="L70" s="145">
        <f t="shared" si="1"/>
        <v>0</v>
      </c>
      <c r="M70" s="149"/>
      <c r="N70" s="149"/>
      <c r="O70" s="149"/>
      <c r="P70" s="149"/>
      <c r="Q70" s="149"/>
    </row>
    <row r="71" spans="1:17" ht="12.75" hidden="1" customHeight="1">
      <c r="A71" s="113"/>
      <c r="B71" s="993" t="s">
        <v>293</v>
      </c>
      <c r="C71" s="948"/>
      <c r="D71" s="102" t="s">
        <v>294</v>
      </c>
      <c r="E71" s="103">
        <f t="shared" si="70"/>
        <v>0</v>
      </c>
      <c r="F71" s="103">
        <f t="shared" si="70"/>
        <v>0</v>
      </c>
      <c r="G71" s="104">
        <f t="shared" si="71"/>
        <v>0</v>
      </c>
      <c r="H71" s="105">
        <f t="shared" si="72"/>
        <v>0</v>
      </c>
      <c r="I71" s="146">
        <f t="shared" si="72"/>
        <v>0</v>
      </c>
      <c r="J71" s="146">
        <f t="shared" si="72"/>
        <v>0</v>
      </c>
      <c r="K71" s="145">
        <f t="shared" si="0"/>
        <v>0</v>
      </c>
      <c r="L71" s="145">
        <f t="shared" si="1"/>
        <v>0</v>
      </c>
      <c r="M71" s="149"/>
      <c r="N71" s="149"/>
      <c r="O71" s="149"/>
      <c r="P71" s="149"/>
      <c r="Q71" s="149"/>
    </row>
    <row r="72" spans="1:17" ht="27" customHeight="1">
      <c r="A72" s="990" t="s">
        <v>50</v>
      </c>
      <c r="B72" s="948"/>
      <c r="C72" s="948"/>
      <c r="D72" s="92" t="s">
        <v>295</v>
      </c>
      <c r="E72" s="93">
        <f t="shared" ref="E72:F72" si="73">SUM(E73,E76,E77)</f>
        <v>1597.1000000000001</v>
      </c>
      <c r="F72" s="93">
        <f t="shared" si="73"/>
        <v>0</v>
      </c>
      <c r="G72" s="94">
        <f t="shared" ref="G72:J72" si="74">SUM(G73,G76,G77)</f>
        <v>1597.1000000000001</v>
      </c>
      <c r="H72" s="96">
        <f t="shared" si="74"/>
        <v>0</v>
      </c>
      <c r="I72" s="141">
        <f t="shared" si="74"/>
        <v>0</v>
      </c>
      <c r="J72" s="141">
        <f t="shared" si="74"/>
        <v>0</v>
      </c>
      <c r="K72" s="137">
        <f t="shared" si="0"/>
        <v>3194.2000000000003</v>
      </c>
      <c r="L72" s="137">
        <f t="shared" si="1"/>
        <v>1597.1000000000001</v>
      </c>
      <c r="M72" s="148"/>
      <c r="N72" s="148"/>
      <c r="O72" s="148"/>
      <c r="P72" s="148"/>
      <c r="Q72" s="139">
        <f t="shared" ref="Q72:Q76" si="75">E72-G72</f>
        <v>0</v>
      </c>
    </row>
    <row r="73" spans="1:17" ht="12.75" customHeight="1">
      <c r="A73" s="119"/>
      <c r="B73" s="994" t="s">
        <v>296</v>
      </c>
      <c r="C73" s="948"/>
      <c r="D73" s="108" t="s">
        <v>297</v>
      </c>
      <c r="E73" s="109">
        <f t="shared" ref="E73:F73" si="76">SUM(E74:E75)</f>
        <v>1448.9</v>
      </c>
      <c r="F73" s="109">
        <f t="shared" si="76"/>
        <v>0</v>
      </c>
      <c r="G73" s="110">
        <f t="shared" ref="G73:J73" si="77">SUM(G74:G75)</f>
        <v>1448.9</v>
      </c>
      <c r="H73" s="105">
        <f t="shared" si="77"/>
        <v>0</v>
      </c>
      <c r="I73" s="146">
        <f t="shared" si="77"/>
        <v>0</v>
      </c>
      <c r="J73" s="146">
        <f t="shared" si="77"/>
        <v>0</v>
      </c>
      <c r="K73" s="137">
        <f t="shared" si="0"/>
        <v>2897.8</v>
      </c>
      <c r="L73" s="137">
        <f t="shared" si="1"/>
        <v>1448.9</v>
      </c>
      <c r="M73" s="148"/>
      <c r="N73" s="148"/>
      <c r="O73" s="148"/>
      <c r="P73" s="148"/>
      <c r="Q73" s="139">
        <f t="shared" si="75"/>
        <v>0</v>
      </c>
    </row>
    <row r="74" spans="1:17" ht="25.5" customHeight="1">
      <c r="A74" s="119"/>
      <c r="B74" s="158"/>
      <c r="C74" s="159" t="s">
        <v>298</v>
      </c>
      <c r="D74" s="108" t="s">
        <v>299</v>
      </c>
      <c r="E74" s="109">
        <f t="shared" ref="E74:F74" si="78">SUM(E365)</f>
        <v>112.5</v>
      </c>
      <c r="F74" s="109">
        <f t="shared" si="78"/>
        <v>0</v>
      </c>
      <c r="G74" s="110">
        <f t="shared" ref="G74" si="79">SUM(G365)</f>
        <v>112.5</v>
      </c>
      <c r="H74" s="105">
        <f t="shared" ref="H74:J77" si="80">SUM(H365)</f>
        <v>0</v>
      </c>
      <c r="I74" s="146">
        <f t="shared" si="80"/>
        <v>0</v>
      </c>
      <c r="J74" s="146">
        <f t="shared" si="80"/>
        <v>0</v>
      </c>
      <c r="K74" s="137">
        <f t="shared" si="0"/>
        <v>225</v>
      </c>
      <c r="L74" s="137">
        <f t="shared" si="1"/>
        <v>112.5</v>
      </c>
      <c r="M74" s="148"/>
      <c r="N74" s="148"/>
      <c r="O74" s="148"/>
      <c r="P74" s="148"/>
      <c r="Q74" s="139">
        <f t="shared" si="75"/>
        <v>0</v>
      </c>
    </row>
    <row r="75" spans="1:17" ht="26.25" customHeight="1">
      <c r="A75" s="119"/>
      <c r="B75" s="158"/>
      <c r="C75" s="159" t="s">
        <v>300</v>
      </c>
      <c r="D75" s="108" t="s">
        <v>301</v>
      </c>
      <c r="E75" s="109">
        <f t="shared" ref="E75:F77" si="81">SUM(E366)</f>
        <v>1336.4</v>
      </c>
      <c r="F75" s="109">
        <f t="shared" si="81"/>
        <v>0</v>
      </c>
      <c r="G75" s="110">
        <f t="shared" ref="G75:G77" si="82">SUM(G366)</f>
        <v>1336.4</v>
      </c>
      <c r="H75" s="105">
        <f t="shared" si="80"/>
        <v>0</v>
      </c>
      <c r="I75" s="146">
        <f t="shared" si="80"/>
        <v>0</v>
      </c>
      <c r="J75" s="146">
        <f t="shared" si="80"/>
        <v>0</v>
      </c>
      <c r="K75" s="137">
        <f t="shared" si="0"/>
        <v>2672.8</v>
      </c>
      <c r="L75" s="137">
        <f t="shared" si="1"/>
        <v>1336.4</v>
      </c>
      <c r="M75" s="148"/>
      <c r="N75" s="148"/>
      <c r="O75" s="148"/>
      <c r="P75" s="148"/>
      <c r="Q75" s="139">
        <f t="shared" si="75"/>
        <v>0</v>
      </c>
    </row>
    <row r="76" spans="1:17" ht="26.25" customHeight="1">
      <c r="A76" s="119"/>
      <c r="B76" s="994" t="s">
        <v>302</v>
      </c>
      <c r="C76" s="948"/>
      <c r="D76" s="108" t="s">
        <v>303</v>
      </c>
      <c r="E76" s="109">
        <f t="shared" si="81"/>
        <v>148.19999999999999</v>
      </c>
      <c r="F76" s="109">
        <f t="shared" si="81"/>
        <v>0</v>
      </c>
      <c r="G76" s="110">
        <f t="shared" si="82"/>
        <v>148.19999999999999</v>
      </c>
      <c r="H76" s="105">
        <f t="shared" si="80"/>
        <v>0</v>
      </c>
      <c r="I76" s="146">
        <f t="shared" si="80"/>
        <v>0</v>
      </c>
      <c r="J76" s="146">
        <f t="shared" si="80"/>
        <v>0</v>
      </c>
      <c r="K76" s="137">
        <f t="shared" si="0"/>
        <v>296.39999999999998</v>
      </c>
      <c r="L76" s="137">
        <f t="shared" si="1"/>
        <v>148.19999999999999</v>
      </c>
      <c r="M76" s="148"/>
      <c r="N76" s="148"/>
      <c r="O76" s="148"/>
      <c r="P76" s="148"/>
      <c r="Q76" s="139">
        <f t="shared" si="75"/>
        <v>0</v>
      </c>
    </row>
    <row r="77" spans="1:17" ht="30" hidden="1" customHeight="1">
      <c r="A77" s="113"/>
      <c r="B77" s="993" t="s">
        <v>304</v>
      </c>
      <c r="C77" s="948"/>
      <c r="D77" s="102" t="s">
        <v>305</v>
      </c>
      <c r="E77" s="103">
        <f t="shared" si="81"/>
        <v>0</v>
      </c>
      <c r="F77" s="103">
        <f t="shared" si="81"/>
        <v>0</v>
      </c>
      <c r="G77" s="104">
        <f t="shared" si="82"/>
        <v>0</v>
      </c>
      <c r="H77" s="105">
        <f t="shared" si="80"/>
        <v>0</v>
      </c>
      <c r="I77" s="146">
        <f t="shared" si="80"/>
        <v>0</v>
      </c>
      <c r="J77" s="146">
        <f t="shared" si="80"/>
        <v>0</v>
      </c>
      <c r="K77" s="145">
        <f t="shared" si="0"/>
        <v>0</v>
      </c>
      <c r="L77" s="145">
        <f t="shared" si="1"/>
        <v>0</v>
      </c>
      <c r="M77" s="149"/>
      <c r="N77" s="149"/>
      <c r="O77" s="149"/>
      <c r="P77" s="149"/>
      <c r="Q77" s="149"/>
    </row>
    <row r="78" spans="1:17" ht="12.75" hidden="1" customHeight="1">
      <c r="A78" s="989" t="s">
        <v>306</v>
      </c>
      <c r="B78" s="948"/>
      <c r="C78" s="948"/>
      <c r="D78" s="97" t="s">
        <v>307</v>
      </c>
      <c r="E78" s="98">
        <f t="shared" ref="E78:F79" si="83">SUM(E79)</f>
        <v>0</v>
      </c>
      <c r="F78" s="98">
        <f t="shared" si="83"/>
        <v>0</v>
      </c>
      <c r="G78" s="99">
        <f t="shared" ref="G78:J79" si="84">SUM(G79)</f>
        <v>0</v>
      </c>
      <c r="H78" s="96">
        <f t="shared" si="84"/>
        <v>0</v>
      </c>
      <c r="I78" s="141">
        <f t="shared" si="84"/>
        <v>0</v>
      </c>
      <c r="J78" s="141">
        <f t="shared" si="84"/>
        <v>0</v>
      </c>
      <c r="K78" s="145">
        <f t="shared" si="0"/>
        <v>0</v>
      </c>
      <c r="L78" s="145">
        <f t="shared" si="1"/>
        <v>0</v>
      </c>
      <c r="M78" s="149"/>
      <c r="N78" s="149"/>
      <c r="O78" s="149"/>
      <c r="P78" s="149"/>
      <c r="Q78" s="149"/>
    </row>
    <row r="79" spans="1:17" ht="12.75" hidden="1" customHeight="1">
      <c r="A79" s="989" t="s">
        <v>52</v>
      </c>
      <c r="B79" s="948"/>
      <c r="C79" s="948"/>
      <c r="D79" s="97" t="s">
        <v>308</v>
      </c>
      <c r="E79" s="98">
        <f t="shared" si="83"/>
        <v>0</v>
      </c>
      <c r="F79" s="98">
        <f t="shared" si="83"/>
        <v>0</v>
      </c>
      <c r="G79" s="99">
        <f t="shared" si="84"/>
        <v>0</v>
      </c>
      <c r="H79" s="96">
        <f t="shared" si="84"/>
        <v>0</v>
      </c>
      <c r="I79" s="141">
        <f t="shared" si="84"/>
        <v>0</v>
      </c>
      <c r="J79" s="141">
        <f t="shared" si="84"/>
        <v>0</v>
      </c>
      <c r="K79" s="145">
        <f t="shared" si="0"/>
        <v>0</v>
      </c>
      <c r="L79" s="145">
        <f t="shared" si="1"/>
        <v>0</v>
      </c>
      <c r="M79" s="149"/>
      <c r="N79" s="149"/>
      <c r="O79" s="149"/>
      <c r="P79" s="149"/>
      <c r="Q79" s="149"/>
    </row>
    <row r="80" spans="1:17" ht="12.75" hidden="1" customHeight="1">
      <c r="A80" s="113"/>
      <c r="B80" s="993" t="s">
        <v>309</v>
      </c>
      <c r="C80" s="948"/>
      <c r="D80" s="102" t="s">
        <v>310</v>
      </c>
      <c r="E80" s="103">
        <f t="shared" ref="E80:F80" si="85">SUM(E371)</f>
        <v>0</v>
      </c>
      <c r="F80" s="103">
        <f t="shared" si="85"/>
        <v>0</v>
      </c>
      <c r="G80" s="104">
        <f t="shared" ref="G80:J80" si="86">SUM(G371)</f>
        <v>0</v>
      </c>
      <c r="H80" s="105">
        <f t="shared" si="86"/>
        <v>0</v>
      </c>
      <c r="I80" s="146">
        <f t="shared" si="86"/>
        <v>0</v>
      </c>
      <c r="J80" s="146">
        <f t="shared" si="86"/>
        <v>0</v>
      </c>
      <c r="K80" s="145">
        <f t="shared" si="0"/>
        <v>0</v>
      </c>
      <c r="L80" s="145">
        <f t="shared" si="1"/>
        <v>0</v>
      </c>
      <c r="M80" s="149"/>
      <c r="N80" s="149"/>
      <c r="O80" s="149"/>
      <c r="P80" s="149"/>
      <c r="Q80" s="149"/>
    </row>
    <row r="81" spans="1:17" ht="12.75" customHeight="1">
      <c r="A81" s="990" t="s">
        <v>311</v>
      </c>
      <c r="B81" s="948"/>
      <c r="C81" s="948"/>
      <c r="D81" s="92" t="s">
        <v>312</v>
      </c>
      <c r="E81" s="93">
        <f t="shared" ref="E81:F81" si="87">SUM(E82,E93)</f>
        <v>4296.6000000000004</v>
      </c>
      <c r="F81" s="93">
        <f t="shared" si="87"/>
        <v>0</v>
      </c>
      <c r="G81" s="94">
        <f t="shared" ref="G81:J81" si="88">SUM(G82,G93)</f>
        <v>4296.6000000000004</v>
      </c>
      <c r="H81" s="96">
        <f t="shared" si="88"/>
        <v>0</v>
      </c>
      <c r="I81" s="141">
        <f t="shared" si="88"/>
        <v>0</v>
      </c>
      <c r="J81" s="141">
        <f t="shared" si="88"/>
        <v>0</v>
      </c>
      <c r="K81" s="137">
        <f t="shared" si="0"/>
        <v>8593.2000000000007</v>
      </c>
      <c r="L81" s="137">
        <f t="shared" si="1"/>
        <v>4296.6000000000004</v>
      </c>
      <c r="M81" s="148"/>
      <c r="N81" s="148"/>
      <c r="O81" s="148"/>
      <c r="P81" s="148"/>
      <c r="Q81" s="139">
        <f>E81-G81</f>
        <v>0</v>
      </c>
    </row>
    <row r="82" spans="1:17" ht="12.75" customHeight="1">
      <c r="A82" s="990" t="s">
        <v>313</v>
      </c>
      <c r="B82" s="948"/>
      <c r="C82" s="948"/>
      <c r="D82" s="92" t="s">
        <v>314</v>
      </c>
      <c r="E82" s="93">
        <f t="shared" ref="E82:F82" si="89">SUM(E83,E91)</f>
        <v>1901.9</v>
      </c>
      <c r="F82" s="93">
        <f t="shared" si="89"/>
        <v>0</v>
      </c>
      <c r="G82" s="94">
        <f t="shared" ref="G82:J82" si="90">SUM(G83,G91)</f>
        <v>1901.9</v>
      </c>
      <c r="H82" s="96">
        <f t="shared" si="90"/>
        <v>0</v>
      </c>
      <c r="I82" s="141">
        <f t="shared" si="90"/>
        <v>0</v>
      </c>
      <c r="J82" s="141">
        <f t="shared" si="90"/>
        <v>0</v>
      </c>
      <c r="K82" s="137">
        <f t="shared" si="0"/>
        <v>3803.8</v>
      </c>
      <c r="L82" s="137">
        <f t="shared" si="1"/>
        <v>1901.9</v>
      </c>
      <c r="M82" s="148"/>
      <c r="N82" s="148"/>
      <c r="O82" s="148"/>
      <c r="P82" s="148"/>
      <c r="Q82" s="139">
        <f t="shared" ref="Q82:Q83" si="91">E82-G82</f>
        <v>0</v>
      </c>
    </row>
    <row r="83" spans="1:17" ht="12.75" customHeight="1">
      <c r="A83" s="990" t="s">
        <v>315</v>
      </c>
      <c r="B83" s="948"/>
      <c r="C83" s="948"/>
      <c r="D83" s="92" t="s">
        <v>316</v>
      </c>
      <c r="E83" s="93">
        <f>SUM(E84:E85,E88,E90)</f>
        <v>1901.9</v>
      </c>
      <c r="F83" s="93">
        <f>SUM(F84:F85,F88,F90)</f>
        <v>0</v>
      </c>
      <c r="G83" s="94">
        <f>SUM(G84:G85,G88,G90)</f>
        <v>1901.9</v>
      </c>
      <c r="H83" s="96">
        <f t="shared" ref="H83:J83" si="92">SUM(H84:H88,H90)</f>
        <v>0</v>
      </c>
      <c r="I83" s="141">
        <f t="shared" si="92"/>
        <v>0</v>
      </c>
      <c r="J83" s="141">
        <f t="shared" si="92"/>
        <v>0</v>
      </c>
      <c r="K83" s="137">
        <f t="shared" si="0"/>
        <v>3803.8</v>
      </c>
      <c r="L83" s="137">
        <f t="shared" si="1"/>
        <v>1901.9</v>
      </c>
      <c r="M83" s="148"/>
      <c r="N83" s="148"/>
      <c r="O83" s="148"/>
      <c r="P83" s="148"/>
      <c r="Q83" s="139">
        <f t="shared" si="91"/>
        <v>0</v>
      </c>
    </row>
    <row r="84" spans="1:17" ht="29.25" hidden="1" customHeight="1">
      <c r="A84" s="113"/>
      <c r="B84" s="993" t="s">
        <v>317</v>
      </c>
      <c r="C84" s="948"/>
      <c r="D84" s="102" t="s">
        <v>318</v>
      </c>
      <c r="E84" s="103">
        <f t="shared" ref="E84:F84" si="93">SUM(E375)</f>
        <v>0</v>
      </c>
      <c r="F84" s="103">
        <f t="shared" si="93"/>
        <v>0</v>
      </c>
      <c r="G84" s="104">
        <f t="shared" ref="G84:G85" si="94">SUM(G375)</f>
        <v>0</v>
      </c>
      <c r="H84" s="105">
        <f t="shared" ref="H84:J87" si="95">SUM(H375)</f>
        <v>0</v>
      </c>
      <c r="I84" s="146">
        <f t="shared" si="95"/>
        <v>0</v>
      </c>
      <c r="J84" s="146">
        <f t="shared" si="95"/>
        <v>0</v>
      </c>
      <c r="K84" s="145">
        <f t="shared" si="0"/>
        <v>0</v>
      </c>
      <c r="L84" s="145">
        <f t="shared" si="1"/>
        <v>0</v>
      </c>
      <c r="M84" s="149"/>
      <c r="N84" s="149"/>
      <c r="O84" s="149"/>
      <c r="P84" s="149"/>
      <c r="Q84" s="149"/>
    </row>
    <row r="85" spans="1:17" ht="12.75" customHeight="1">
      <c r="A85" s="119"/>
      <c r="B85" s="994" t="s">
        <v>319</v>
      </c>
      <c r="C85" s="948"/>
      <c r="D85" s="108" t="s">
        <v>320</v>
      </c>
      <c r="E85" s="109">
        <f>SUM(E376)</f>
        <v>1901.9</v>
      </c>
      <c r="F85" s="109">
        <f>SUM(F376)</f>
        <v>0</v>
      </c>
      <c r="G85" s="110">
        <f t="shared" si="94"/>
        <v>1901.9</v>
      </c>
      <c r="H85" s="105">
        <f t="shared" si="95"/>
        <v>0</v>
      </c>
      <c r="I85" s="146">
        <f t="shared" si="95"/>
        <v>0</v>
      </c>
      <c r="J85" s="146">
        <f t="shared" si="95"/>
        <v>0</v>
      </c>
      <c r="K85" s="137">
        <f t="shared" si="0"/>
        <v>3803.8</v>
      </c>
      <c r="L85" s="137">
        <f t="shared" si="1"/>
        <v>1901.9</v>
      </c>
      <c r="M85" s="148"/>
      <c r="N85" s="148"/>
      <c r="O85" s="148"/>
      <c r="P85" s="148"/>
      <c r="Q85" s="139">
        <f>E85-G85</f>
        <v>0</v>
      </c>
    </row>
    <row r="86" spans="1:17" ht="12.75" customHeight="1">
      <c r="A86" s="106"/>
      <c r="B86" s="160"/>
      <c r="C86" s="159" t="s">
        <v>321</v>
      </c>
      <c r="D86" s="161" t="s">
        <v>322</v>
      </c>
      <c r="E86" s="109">
        <f t="shared" ref="E86:F87" si="96">SUM(E377)</f>
        <v>1400.3</v>
      </c>
      <c r="F86" s="109">
        <f t="shared" si="96"/>
        <v>0</v>
      </c>
      <c r="G86" s="110">
        <f t="shared" ref="G86:G87" si="97">SUM(G377)</f>
        <v>1400.3</v>
      </c>
      <c r="H86" s="105">
        <f t="shared" si="95"/>
        <v>0</v>
      </c>
      <c r="I86" s="146">
        <f t="shared" si="95"/>
        <v>0</v>
      </c>
      <c r="J86" s="146">
        <f t="shared" si="95"/>
        <v>0</v>
      </c>
      <c r="K86" s="137">
        <f t="shared" si="0"/>
        <v>2800.6</v>
      </c>
      <c r="L86" s="137">
        <f t="shared" si="1"/>
        <v>1400.3</v>
      </c>
      <c r="M86" s="148"/>
      <c r="N86" s="148"/>
      <c r="O86" s="148"/>
      <c r="P86" s="148"/>
      <c r="Q86" s="139">
        <f t="shared" ref="Q86:Q87" si="98">E86-G86</f>
        <v>0</v>
      </c>
    </row>
    <row r="87" spans="1:17" ht="25.5">
      <c r="A87" s="106"/>
      <c r="B87" s="160"/>
      <c r="C87" s="159" t="s">
        <v>323</v>
      </c>
      <c r="D87" s="161" t="s">
        <v>324</v>
      </c>
      <c r="E87" s="109">
        <f t="shared" si="96"/>
        <v>501.6</v>
      </c>
      <c r="F87" s="109">
        <f t="shared" si="96"/>
        <v>0</v>
      </c>
      <c r="G87" s="110">
        <f t="shared" si="97"/>
        <v>501.6</v>
      </c>
      <c r="H87" s="105">
        <f t="shared" si="95"/>
        <v>0</v>
      </c>
      <c r="I87" s="146">
        <f t="shared" si="95"/>
        <v>0</v>
      </c>
      <c r="J87" s="146">
        <f t="shared" si="95"/>
        <v>0</v>
      </c>
      <c r="K87" s="137">
        <f t="shared" si="0"/>
        <v>1003.2</v>
      </c>
      <c r="L87" s="137">
        <f t="shared" si="1"/>
        <v>501.6</v>
      </c>
      <c r="M87" s="148"/>
      <c r="N87" s="148"/>
      <c r="O87" s="148"/>
      <c r="P87" s="148"/>
      <c r="Q87" s="139">
        <f t="shared" si="98"/>
        <v>0</v>
      </c>
    </row>
    <row r="88" spans="1:17" ht="12.75" hidden="1" customHeight="1">
      <c r="A88" s="100"/>
      <c r="B88" s="993" t="s">
        <v>325</v>
      </c>
      <c r="C88" s="948"/>
      <c r="D88" s="102" t="s">
        <v>326</v>
      </c>
      <c r="E88" s="103">
        <f t="shared" ref="E88:F88" si="99">SUM(E89)</f>
        <v>0</v>
      </c>
      <c r="F88" s="103">
        <f t="shared" si="99"/>
        <v>0</v>
      </c>
      <c r="G88" s="104">
        <f t="shared" ref="G88:J88" si="100">SUM(G89)</f>
        <v>0</v>
      </c>
      <c r="H88" s="105">
        <f t="shared" si="100"/>
        <v>0</v>
      </c>
      <c r="I88" s="146">
        <f t="shared" si="100"/>
        <v>0</v>
      </c>
      <c r="J88" s="146">
        <f t="shared" si="100"/>
        <v>0</v>
      </c>
      <c r="K88" s="145">
        <f t="shared" si="0"/>
        <v>0</v>
      </c>
      <c r="L88" s="145">
        <f t="shared" si="1"/>
        <v>0</v>
      </c>
      <c r="M88" s="149"/>
      <c r="N88" s="149"/>
      <c r="O88" s="149"/>
      <c r="P88" s="149"/>
      <c r="Q88" s="149"/>
    </row>
    <row r="89" spans="1:17" ht="12.75" hidden="1" customHeight="1">
      <c r="A89" s="100"/>
      <c r="B89" s="118"/>
      <c r="C89" s="116" t="s">
        <v>327</v>
      </c>
      <c r="D89" s="117" t="s">
        <v>328</v>
      </c>
      <c r="E89" s="103">
        <f t="shared" ref="E89:F90" si="101">SUM(E380)</f>
        <v>0</v>
      </c>
      <c r="F89" s="103">
        <f t="shared" si="101"/>
        <v>0</v>
      </c>
      <c r="G89" s="104">
        <f t="shared" ref="G89:J90" si="102">SUM(G380)</f>
        <v>0</v>
      </c>
      <c r="H89" s="105">
        <f t="shared" si="102"/>
        <v>0</v>
      </c>
      <c r="I89" s="146">
        <f t="shared" si="102"/>
        <v>0</v>
      </c>
      <c r="J89" s="146">
        <f t="shared" si="102"/>
        <v>0</v>
      </c>
      <c r="K89" s="145">
        <f t="shared" si="0"/>
        <v>0</v>
      </c>
      <c r="L89" s="145">
        <f t="shared" si="1"/>
        <v>0</v>
      </c>
      <c r="M89" s="149"/>
      <c r="N89" s="149"/>
      <c r="O89" s="149"/>
      <c r="P89" s="149"/>
      <c r="Q89" s="149"/>
    </row>
    <row r="90" spans="1:17" ht="12.75" hidden="1" customHeight="1">
      <c r="A90" s="100"/>
      <c r="B90" s="993" t="s">
        <v>329</v>
      </c>
      <c r="C90" s="948"/>
      <c r="D90" s="102" t="s">
        <v>330</v>
      </c>
      <c r="E90" s="103">
        <f t="shared" si="101"/>
        <v>0</v>
      </c>
      <c r="F90" s="103">
        <f t="shared" si="101"/>
        <v>0</v>
      </c>
      <c r="G90" s="104">
        <f t="shared" si="102"/>
        <v>0</v>
      </c>
      <c r="H90" s="105">
        <f t="shared" si="102"/>
        <v>0</v>
      </c>
      <c r="I90" s="146">
        <f t="shared" si="102"/>
        <v>0</v>
      </c>
      <c r="J90" s="146">
        <f t="shared" si="102"/>
        <v>0</v>
      </c>
      <c r="K90" s="145">
        <f t="shared" si="0"/>
        <v>0</v>
      </c>
      <c r="L90" s="145">
        <f t="shared" si="1"/>
        <v>0</v>
      </c>
      <c r="M90" s="149"/>
      <c r="N90" s="149"/>
      <c r="O90" s="149"/>
      <c r="P90" s="149"/>
      <c r="Q90" s="149"/>
    </row>
    <row r="91" spans="1:17" ht="12.75" hidden="1" customHeight="1">
      <c r="A91" s="989" t="s">
        <v>331</v>
      </c>
      <c r="B91" s="948"/>
      <c r="C91" s="948"/>
      <c r="D91" s="97" t="s">
        <v>332</v>
      </c>
      <c r="E91" s="98">
        <f t="shared" ref="E91:F91" si="103">SUM(E92)</f>
        <v>0</v>
      </c>
      <c r="F91" s="98">
        <f t="shared" si="103"/>
        <v>0</v>
      </c>
      <c r="G91" s="99">
        <f t="shared" ref="G91:J91" si="104">SUM(G92)</f>
        <v>0</v>
      </c>
      <c r="H91" s="96">
        <f t="shared" si="104"/>
        <v>0</v>
      </c>
      <c r="I91" s="141">
        <f t="shared" si="104"/>
        <v>0</v>
      </c>
      <c r="J91" s="141">
        <f t="shared" si="104"/>
        <v>0</v>
      </c>
      <c r="K91" s="145">
        <f t="shared" si="0"/>
        <v>0</v>
      </c>
      <c r="L91" s="145">
        <f t="shared" si="1"/>
        <v>0</v>
      </c>
      <c r="M91" s="149"/>
      <c r="N91" s="149"/>
      <c r="O91" s="149"/>
      <c r="P91" s="149"/>
      <c r="Q91" s="149"/>
    </row>
    <row r="92" spans="1:17" ht="12.75" hidden="1" customHeight="1">
      <c r="A92" s="100"/>
      <c r="B92" s="993" t="s">
        <v>333</v>
      </c>
      <c r="C92" s="948"/>
      <c r="D92" s="102" t="s">
        <v>334</v>
      </c>
      <c r="E92" s="103">
        <f t="shared" ref="E92:F92" si="105">SUM(E383)</f>
        <v>0</v>
      </c>
      <c r="F92" s="103">
        <f t="shared" si="105"/>
        <v>0</v>
      </c>
      <c r="G92" s="104">
        <f t="shared" ref="G92:J92" si="106">SUM(G383)</f>
        <v>0</v>
      </c>
      <c r="H92" s="105">
        <f t="shared" si="106"/>
        <v>0</v>
      </c>
      <c r="I92" s="146">
        <f t="shared" si="106"/>
        <v>0</v>
      </c>
      <c r="J92" s="146">
        <f t="shared" si="106"/>
        <v>0</v>
      </c>
      <c r="K92" s="145">
        <f t="shared" si="0"/>
        <v>0</v>
      </c>
      <c r="L92" s="145">
        <f t="shared" si="1"/>
        <v>0</v>
      </c>
      <c r="M92" s="149"/>
      <c r="N92" s="149"/>
      <c r="O92" s="149"/>
      <c r="P92" s="149"/>
      <c r="Q92" s="149"/>
    </row>
    <row r="93" spans="1:17" ht="12.75" customHeight="1">
      <c r="A93" s="990" t="s">
        <v>335</v>
      </c>
      <c r="B93" s="948"/>
      <c r="C93" s="948"/>
      <c r="D93" s="92" t="s">
        <v>336</v>
      </c>
      <c r="E93" s="93">
        <f t="shared" ref="E93:F93" si="107">SUM(E94,E102,E105,E110,E118)</f>
        <v>2394.7000000000003</v>
      </c>
      <c r="F93" s="93">
        <f t="shared" si="107"/>
        <v>0</v>
      </c>
      <c r="G93" s="94">
        <f t="shared" ref="G93:J93" si="108">SUM(G94,G102,G105,G110,G118)</f>
        <v>2394.7000000000003</v>
      </c>
      <c r="H93" s="96">
        <f t="shared" si="108"/>
        <v>0</v>
      </c>
      <c r="I93" s="141">
        <f t="shared" si="108"/>
        <v>0</v>
      </c>
      <c r="J93" s="141">
        <f t="shared" si="108"/>
        <v>0</v>
      </c>
      <c r="K93" s="137">
        <f t="shared" si="0"/>
        <v>4789.4000000000005</v>
      </c>
      <c r="L93" s="137">
        <f t="shared" si="1"/>
        <v>2394.7000000000003</v>
      </c>
      <c r="M93" s="148"/>
      <c r="N93" s="148"/>
      <c r="O93" s="148"/>
      <c r="P93" s="148"/>
      <c r="Q93" s="139">
        <f t="shared" ref="Q93:Q95" si="109">E93-G93</f>
        <v>0</v>
      </c>
    </row>
    <row r="94" spans="1:17" ht="12.75" customHeight="1">
      <c r="A94" s="990" t="s">
        <v>337</v>
      </c>
      <c r="B94" s="948"/>
      <c r="C94" s="948"/>
      <c r="D94" s="92" t="s">
        <v>338</v>
      </c>
      <c r="E94" s="93">
        <f t="shared" ref="E94:F94" si="110">SUM(E95:E101)</f>
        <v>2254.2000000000003</v>
      </c>
      <c r="F94" s="93">
        <f t="shared" si="110"/>
        <v>0</v>
      </c>
      <c r="G94" s="94">
        <f t="shared" ref="G94:J94" si="111">SUM(G95:G101)</f>
        <v>2254.2000000000003</v>
      </c>
      <c r="H94" s="96">
        <f t="shared" si="111"/>
        <v>0</v>
      </c>
      <c r="I94" s="141">
        <f t="shared" si="111"/>
        <v>0</v>
      </c>
      <c r="J94" s="141">
        <f t="shared" si="111"/>
        <v>0</v>
      </c>
      <c r="K94" s="137">
        <f t="shared" si="0"/>
        <v>4508.4000000000005</v>
      </c>
      <c r="L94" s="137">
        <f t="shared" si="1"/>
        <v>2254.2000000000003</v>
      </c>
      <c r="M94" s="148"/>
      <c r="N94" s="148"/>
      <c r="O94" s="148"/>
      <c r="P94" s="148"/>
      <c r="Q94" s="139">
        <f t="shared" si="109"/>
        <v>0</v>
      </c>
    </row>
    <row r="95" spans="1:17" ht="12.75" customHeight="1">
      <c r="A95" s="119"/>
      <c r="B95" s="994" t="s">
        <v>339</v>
      </c>
      <c r="C95" s="948"/>
      <c r="D95" s="108" t="s">
        <v>340</v>
      </c>
      <c r="E95" s="109">
        <f t="shared" ref="E95:F95" si="112">SUM(E386)</f>
        <v>2254.2000000000003</v>
      </c>
      <c r="F95" s="109">
        <f t="shared" si="112"/>
        <v>0</v>
      </c>
      <c r="G95" s="110">
        <f t="shared" ref="G95" si="113">SUM(G386)</f>
        <v>2254.2000000000003</v>
      </c>
      <c r="H95" s="105">
        <f t="shared" ref="H95:J101" si="114">SUM(H386)</f>
        <v>0</v>
      </c>
      <c r="I95" s="146">
        <f t="shared" si="114"/>
        <v>0</v>
      </c>
      <c r="J95" s="146">
        <f t="shared" si="114"/>
        <v>0</v>
      </c>
      <c r="K95" s="137">
        <f t="shared" si="0"/>
        <v>4508.4000000000005</v>
      </c>
      <c r="L95" s="137">
        <f t="shared" si="1"/>
        <v>2254.2000000000003</v>
      </c>
      <c r="M95" s="148"/>
      <c r="N95" s="148"/>
      <c r="O95" s="148"/>
      <c r="P95" s="148"/>
      <c r="Q95" s="139">
        <f t="shared" si="109"/>
        <v>0</v>
      </c>
    </row>
    <row r="96" spans="1:17" ht="30" hidden="1" customHeight="1">
      <c r="A96" s="113"/>
      <c r="B96" s="993" t="s">
        <v>341</v>
      </c>
      <c r="C96" s="948"/>
      <c r="D96" s="102" t="s">
        <v>342</v>
      </c>
      <c r="E96" s="103">
        <f t="shared" ref="E96:F101" si="115">SUM(E387)</f>
        <v>0</v>
      </c>
      <c r="F96" s="103">
        <f t="shared" si="115"/>
        <v>0</v>
      </c>
      <c r="G96" s="104">
        <f t="shared" ref="G96:G101" si="116">SUM(G387)</f>
        <v>0</v>
      </c>
      <c r="H96" s="105">
        <f t="shared" si="114"/>
        <v>0</v>
      </c>
      <c r="I96" s="146">
        <f t="shared" si="114"/>
        <v>0</v>
      </c>
      <c r="J96" s="146">
        <f t="shared" si="114"/>
        <v>0</v>
      </c>
      <c r="K96" s="145">
        <f t="shared" si="0"/>
        <v>0</v>
      </c>
      <c r="L96" s="145">
        <f t="shared" si="1"/>
        <v>0</v>
      </c>
      <c r="M96" s="149"/>
      <c r="N96" s="149"/>
      <c r="O96" s="149"/>
      <c r="P96" s="149"/>
      <c r="Q96" s="149"/>
    </row>
    <row r="97" spans="1:17" ht="12.75" hidden="1" customHeight="1">
      <c r="A97" s="113"/>
      <c r="B97" s="993" t="s">
        <v>343</v>
      </c>
      <c r="C97" s="948"/>
      <c r="D97" s="102" t="s">
        <v>344</v>
      </c>
      <c r="E97" s="103">
        <f t="shared" si="115"/>
        <v>0</v>
      </c>
      <c r="F97" s="103">
        <f t="shared" si="115"/>
        <v>0</v>
      </c>
      <c r="G97" s="104">
        <f t="shared" si="116"/>
        <v>0</v>
      </c>
      <c r="H97" s="105">
        <f t="shared" si="114"/>
        <v>0</v>
      </c>
      <c r="I97" s="146">
        <f t="shared" si="114"/>
        <v>0</v>
      </c>
      <c r="J97" s="146">
        <f t="shared" si="114"/>
        <v>0</v>
      </c>
      <c r="K97" s="145">
        <f t="shared" si="0"/>
        <v>0</v>
      </c>
      <c r="L97" s="145">
        <f t="shared" si="1"/>
        <v>0</v>
      </c>
      <c r="M97" s="149"/>
      <c r="N97" s="149"/>
      <c r="O97" s="149"/>
      <c r="P97" s="149"/>
      <c r="Q97" s="149"/>
    </row>
    <row r="98" spans="1:17" ht="12.75" hidden="1" customHeight="1">
      <c r="A98" s="113"/>
      <c r="B98" s="993" t="s">
        <v>345</v>
      </c>
      <c r="C98" s="948"/>
      <c r="D98" s="102" t="s">
        <v>346</v>
      </c>
      <c r="E98" s="103">
        <f t="shared" si="115"/>
        <v>0</v>
      </c>
      <c r="F98" s="103">
        <f t="shared" si="115"/>
        <v>0</v>
      </c>
      <c r="G98" s="104">
        <f t="shared" si="116"/>
        <v>0</v>
      </c>
      <c r="H98" s="105">
        <f t="shared" si="114"/>
        <v>0</v>
      </c>
      <c r="I98" s="146">
        <f t="shared" si="114"/>
        <v>0</v>
      </c>
      <c r="J98" s="146">
        <f t="shared" si="114"/>
        <v>0</v>
      </c>
      <c r="K98" s="145">
        <f t="shared" si="0"/>
        <v>0</v>
      </c>
      <c r="L98" s="145">
        <f t="shared" si="1"/>
        <v>0</v>
      </c>
      <c r="M98" s="149"/>
      <c r="N98" s="149"/>
      <c r="O98" s="149"/>
      <c r="P98" s="149"/>
      <c r="Q98" s="149"/>
    </row>
    <row r="99" spans="1:17" ht="30" hidden="1" customHeight="1">
      <c r="A99" s="162"/>
      <c r="B99" s="993" t="s">
        <v>347</v>
      </c>
      <c r="C99" s="948"/>
      <c r="D99" s="102" t="s">
        <v>348</v>
      </c>
      <c r="E99" s="103">
        <f t="shared" si="115"/>
        <v>0</v>
      </c>
      <c r="F99" s="103">
        <f t="shared" si="115"/>
        <v>0</v>
      </c>
      <c r="G99" s="104">
        <f t="shared" si="116"/>
        <v>0</v>
      </c>
      <c r="H99" s="105">
        <f t="shared" si="114"/>
        <v>0</v>
      </c>
      <c r="I99" s="146">
        <f t="shared" si="114"/>
        <v>0</v>
      </c>
      <c r="J99" s="146">
        <f t="shared" si="114"/>
        <v>0</v>
      </c>
      <c r="K99" s="145">
        <f t="shared" si="0"/>
        <v>0</v>
      </c>
      <c r="L99" s="145">
        <f t="shared" si="1"/>
        <v>0</v>
      </c>
      <c r="M99" s="149"/>
      <c r="N99" s="149"/>
      <c r="O99" s="149"/>
      <c r="P99" s="149"/>
      <c r="Q99" s="149"/>
    </row>
    <row r="100" spans="1:17" ht="30" hidden="1" customHeight="1">
      <c r="A100" s="162"/>
      <c r="B100" s="993" t="s">
        <v>349</v>
      </c>
      <c r="C100" s="948"/>
      <c r="D100" s="102" t="s">
        <v>350</v>
      </c>
      <c r="E100" s="103">
        <f t="shared" si="115"/>
        <v>0</v>
      </c>
      <c r="F100" s="103">
        <f t="shared" si="115"/>
        <v>0</v>
      </c>
      <c r="G100" s="104">
        <f t="shared" si="116"/>
        <v>0</v>
      </c>
      <c r="H100" s="105">
        <f t="shared" si="114"/>
        <v>0</v>
      </c>
      <c r="I100" s="146">
        <f t="shared" si="114"/>
        <v>0</v>
      </c>
      <c r="J100" s="146">
        <f t="shared" si="114"/>
        <v>0</v>
      </c>
      <c r="K100" s="145">
        <f t="shared" si="0"/>
        <v>0</v>
      </c>
      <c r="L100" s="145">
        <f t="shared" si="1"/>
        <v>0</v>
      </c>
      <c r="M100" s="149"/>
      <c r="N100" s="149"/>
      <c r="O100" s="149"/>
      <c r="P100" s="149"/>
      <c r="Q100" s="149"/>
    </row>
    <row r="101" spans="1:17" ht="12.75" hidden="1" customHeight="1">
      <c r="A101" s="113"/>
      <c r="B101" s="993" t="s">
        <v>351</v>
      </c>
      <c r="C101" s="948"/>
      <c r="D101" s="102" t="s">
        <v>352</v>
      </c>
      <c r="E101" s="103">
        <f t="shared" si="115"/>
        <v>0</v>
      </c>
      <c r="F101" s="103">
        <f t="shared" si="115"/>
        <v>0</v>
      </c>
      <c r="G101" s="104">
        <f t="shared" si="116"/>
        <v>0</v>
      </c>
      <c r="H101" s="105">
        <f t="shared" si="114"/>
        <v>0</v>
      </c>
      <c r="I101" s="146">
        <f t="shared" si="114"/>
        <v>0</v>
      </c>
      <c r="J101" s="146">
        <f t="shared" si="114"/>
        <v>0</v>
      </c>
      <c r="K101" s="145">
        <f t="shared" si="0"/>
        <v>0</v>
      </c>
      <c r="L101" s="145">
        <f t="shared" si="1"/>
        <v>0</v>
      </c>
      <c r="M101" s="149"/>
      <c r="N101" s="149"/>
      <c r="O101" s="149"/>
      <c r="P101" s="149"/>
      <c r="Q101" s="149"/>
    </row>
    <row r="102" spans="1:17" ht="12.75" hidden="1" customHeight="1">
      <c r="A102" s="989" t="s">
        <v>353</v>
      </c>
      <c r="B102" s="948"/>
      <c r="C102" s="948"/>
      <c r="D102" s="97" t="s">
        <v>354</v>
      </c>
      <c r="E102" s="98">
        <f t="shared" ref="E102:F102" si="117">SUM(E103:E104)</f>
        <v>0</v>
      </c>
      <c r="F102" s="98">
        <f t="shared" si="117"/>
        <v>0</v>
      </c>
      <c r="G102" s="99">
        <f t="shared" ref="G102:J102" si="118">SUM(G103:G104)</f>
        <v>0</v>
      </c>
      <c r="H102" s="96">
        <f t="shared" si="118"/>
        <v>0</v>
      </c>
      <c r="I102" s="141">
        <f t="shared" si="118"/>
        <v>0</v>
      </c>
      <c r="J102" s="141">
        <f t="shared" si="118"/>
        <v>0</v>
      </c>
      <c r="K102" s="145">
        <f t="shared" si="0"/>
        <v>0</v>
      </c>
      <c r="L102" s="145">
        <f t="shared" si="1"/>
        <v>0</v>
      </c>
      <c r="M102" s="149"/>
      <c r="N102" s="149"/>
      <c r="O102" s="149"/>
      <c r="P102" s="149"/>
      <c r="Q102" s="149"/>
    </row>
    <row r="103" spans="1:17" ht="12.75" hidden="1" customHeight="1">
      <c r="A103" s="113"/>
      <c r="B103" s="993" t="s">
        <v>355</v>
      </c>
      <c r="C103" s="948"/>
      <c r="D103" s="102" t="s">
        <v>356</v>
      </c>
      <c r="E103" s="103">
        <f t="shared" ref="E103:F104" si="119">SUM(E394)</f>
        <v>0</v>
      </c>
      <c r="F103" s="103">
        <f t="shared" si="119"/>
        <v>0</v>
      </c>
      <c r="G103" s="104">
        <f t="shared" ref="G103:G104" si="120">SUM(G394)</f>
        <v>0</v>
      </c>
      <c r="H103" s="105">
        <f t="shared" ref="H103:J104" si="121">SUM(H394)</f>
        <v>0</v>
      </c>
      <c r="I103" s="146">
        <f t="shared" si="121"/>
        <v>0</v>
      </c>
      <c r="J103" s="146">
        <f t="shared" si="121"/>
        <v>0</v>
      </c>
      <c r="K103" s="145">
        <f t="shared" si="0"/>
        <v>0</v>
      </c>
      <c r="L103" s="145">
        <f t="shared" si="1"/>
        <v>0</v>
      </c>
      <c r="M103" s="149"/>
      <c r="N103" s="149"/>
      <c r="O103" s="149"/>
      <c r="P103" s="149"/>
      <c r="Q103" s="149"/>
    </row>
    <row r="104" spans="1:17" ht="12.75" hidden="1" customHeight="1">
      <c r="A104" s="113"/>
      <c r="B104" s="993" t="s">
        <v>357</v>
      </c>
      <c r="C104" s="948"/>
      <c r="D104" s="102" t="s">
        <v>358</v>
      </c>
      <c r="E104" s="103">
        <f t="shared" si="119"/>
        <v>0</v>
      </c>
      <c r="F104" s="103">
        <f t="shared" si="119"/>
        <v>0</v>
      </c>
      <c r="G104" s="104">
        <f t="shared" si="120"/>
        <v>0</v>
      </c>
      <c r="H104" s="105">
        <f t="shared" si="121"/>
        <v>0</v>
      </c>
      <c r="I104" s="146">
        <f t="shared" si="121"/>
        <v>0</v>
      </c>
      <c r="J104" s="146">
        <f t="shared" si="121"/>
        <v>0</v>
      </c>
      <c r="K104" s="145">
        <f t="shared" si="0"/>
        <v>0</v>
      </c>
      <c r="L104" s="145">
        <f t="shared" si="1"/>
        <v>0</v>
      </c>
      <c r="M104" s="149"/>
      <c r="N104" s="149"/>
      <c r="O104" s="149"/>
      <c r="P104" s="149"/>
      <c r="Q104" s="149"/>
    </row>
    <row r="105" spans="1:17" ht="12.75" customHeight="1">
      <c r="A105" s="990" t="s">
        <v>359</v>
      </c>
      <c r="B105" s="948"/>
      <c r="C105" s="948"/>
      <c r="D105" s="92" t="s">
        <v>360</v>
      </c>
      <c r="E105" s="93">
        <f t="shared" ref="E105:F105" si="122">SUM(E106:E109)</f>
        <v>22</v>
      </c>
      <c r="F105" s="93">
        <f t="shared" si="122"/>
        <v>0</v>
      </c>
      <c r="G105" s="94">
        <f t="shared" ref="G105:J105" si="123">SUM(G106:G109)</f>
        <v>22</v>
      </c>
      <c r="H105" s="96">
        <f t="shared" si="123"/>
        <v>0</v>
      </c>
      <c r="I105" s="141">
        <f t="shared" si="123"/>
        <v>0</v>
      </c>
      <c r="J105" s="141">
        <f t="shared" si="123"/>
        <v>0</v>
      </c>
      <c r="K105" s="137">
        <f t="shared" si="0"/>
        <v>44</v>
      </c>
      <c r="L105" s="137">
        <f t="shared" si="1"/>
        <v>22</v>
      </c>
      <c r="M105" s="148"/>
      <c r="N105" s="148"/>
      <c r="O105" s="148"/>
      <c r="P105" s="148"/>
      <c r="Q105" s="139">
        <f>E105-G105</f>
        <v>0</v>
      </c>
    </row>
    <row r="106" spans="1:17" ht="12.75" customHeight="1">
      <c r="A106" s="119"/>
      <c r="B106" s="994" t="s">
        <v>361</v>
      </c>
      <c r="C106" s="948"/>
      <c r="D106" s="108" t="s">
        <v>362</v>
      </c>
      <c r="E106" s="109">
        <f t="shared" ref="E106:F109" si="124">SUM(E397)</f>
        <v>22</v>
      </c>
      <c r="F106" s="109">
        <f t="shared" si="124"/>
        <v>0</v>
      </c>
      <c r="G106" s="104">
        <f t="shared" ref="G106:J109" si="125">SUM(G397)</f>
        <v>22</v>
      </c>
      <c r="H106" s="105">
        <f t="shared" si="125"/>
        <v>0</v>
      </c>
      <c r="I106" s="146">
        <f t="shared" si="125"/>
        <v>0</v>
      </c>
      <c r="J106" s="146">
        <f t="shared" si="125"/>
        <v>0</v>
      </c>
      <c r="K106" s="145">
        <f t="shared" si="0"/>
        <v>44</v>
      </c>
      <c r="L106" s="145">
        <f t="shared" si="1"/>
        <v>22</v>
      </c>
      <c r="M106" s="149"/>
      <c r="N106" s="149"/>
      <c r="O106" s="149"/>
      <c r="P106" s="149"/>
      <c r="Q106" s="149"/>
    </row>
    <row r="107" spans="1:17" ht="30" hidden="1" customHeight="1">
      <c r="A107" s="113"/>
      <c r="B107" s="993" t="s">
        <v>363</v>
      </c>
      <c r="C107" s="948"/>
      <c r="D107" s="102" t="s">
        <v>364</v>
      </c>
      <c r="E107" s="103">
        <f t="shared" si="124"/>
        <v>0</v>
      </c>
      <c r="F107" s="103">
        <f t="shared" si="124"/>
        <v>0</v>
      </c>
      <c r="G107" s="104">
        <f t="shared" si="125"/>
        <v>0</v>
      </c>
      <c r="H107" s="105">
        <f t="shared" si="125"/>
        <v>0</v>
      </c>
      <c r="I107" s="146">
        <f t="shared" si="125"/>
        <v>0</v>
      </c>
      <c r="J107" s="146">
        <f t="shared" si="125"/>
        <v>0</v>
      </c>
      <c r="K107" s="145">
        <f t="shared" si="0"/>
        <v>0</v>
      </c>
      <c r="L107" s="145">
        <f t="shared" si="1"/>
        <v>0</v>
      </c>
      <c r="M107" s="149"/>
      <c r="N107" s="149"/>
      <c r="O107" s="149"/>
      <c r="P107" s="149"/>
      <c r="Q107" s="149"/>
    </row>
    <row r="108" spans="1:17" ht="30" hidden="1" customHeight="1">
      <c r="A108" s="113"/>
      <c r="B108" s="993" t="s">
        <v>365</v>
      </c>
      <c r="C108" s="948"/>
      <c r="D108" s="102" t="s">
        <v>366</v>
      </c>
      <c r="E108" s="103">
        <f t="shared" si="124"/>
        <v>0</v>
      </c>
      <c r="F108" s="103">
        <f t="shared" si="124"/>
        <v>0</v>
      </c>
      <c r="G108" s="104">
        <f t="shared" si="125"/>
        <v>0</v>
      </c>
      <c r="H108" s="105">
        <f t="shared" si="125"/>
        <v>0</v>
      </c>
      <c r="I108" s="146">
        <f t="shared" si="125"/>
        <v>0</v>
      </c>
      <c r="J108" s="146">
        <f t="shared" si="125"/>
        <v>0</v>
      </c>
      <c r="K108" s="145">
        <f t="shared" si="0"/>
        <v>0</v>
      </c>
      <c r="L108" s="145">
        <f t="shared" si="1"/>
        <v>0</v>
      </c>
      <c r="M108" s="149"/>
      <c r="N108" s="149"/>
      <c r="O108" s="149"/>
      <c r="P108" s="149"/>
      <c r="Q108" s="149"/>
    </row>
    <row r="109" spans="1:17" ht="12.75" customHeight="1">
      <c r="A109" s="119"/>
      <c r="B109" s="994" t="s">
        <v>367</v>
      </c>
      <c r="C109" s="948"/>
      <c r="D109" s="163" t="s">
        <v>368</v>
      </c>
      <c r="E109" s="109">
        <f t="shared" si="124"/>
        <v>0</v>
      </c>
      <c r="F109" s="109">
        <f t="shared" si="124"/>
        <v>0</v>
      </c>
      <c r="G109" s="110">
        <f t="shared" si="125"/>
        <v>0</v>
      </c>
      <c r="H109" s="105">
        <f t="shared" si="125"/>
        <v>0</v>
      </c>
      <c r="I109" s="146">
        <f t="shared" si="125"/>
        <v>0</v>
      </c>
      <c r="J109" s="146">
        <f t="shared" si="125"/>
        <v>0</v>
      </c>
      <c r="K109" s="137">
        <f t="shared" si="0"/>
        <v>0</v>
      </c>
      <c r="L109" s="137" t="str">
        <f>B109</f>
        <v>Alte amenzi, penalitati si confiscari</v>
      </c>
      <c r="M109" s="148"/>
      <c r="N109" s="148"/>
      <c r="O109" s="148"/>
      <c r="P109" s="148"/>
      <c r="Q109" s="139">
        <f t="shared" ref="Q109:Q110" si="126">E109-G109</f>
        <v>0</v>
      </c>
    </row>
    <row r="110" spans="1:17" ht="12.75" customHeight="1">
      <c r="A110" s="990" t="s">
        <v>369</v>
      </c>
      <c r="B110" s="948"/>
      <c r="C110" s="948"/>
      <c r="D110" s="92" t="s">
        <v>370</v>
      </c>
      <c r="E110" s="93">
        <f t="shared" ref="E110:F110" si="127">SUM(E111:E117)</f>
        <v>118.5</v>
      </c>
      <c r="F110" s="93">
        <f t="shared" si="127"/>
        <v>0</v>
      </c>
      <c r="G110" s="94">
        <f t="shared" ref="G110:J110" si="128">SUM(G111:G117)</f>
        <v>118.5</v>
      </c>
      <c r="H110" s="96">
        <f t="shared" si="128"/>
        <v>0</v>
      </c>
      <c r="I110" s="141">
        <f t="shared" si="128"/>
        <v>0</v>
      </c>
      <c r="J110" s="141">
        <f t="shared" si="128"/>
        <v>0</v>
      </c>
      <c r="K110" s="137">
        <f t="shared" si="0"/>
        <v>237</v>
      </c>
      <c r="L110" s="137">
        <f t="shared" si="1"/>
        <v>118.5</v>
      </c>
      <c r="M110" s="148"/>
      <c r="N110" s="148"/>
      <c r="O110" s="148"/>
      <c r="P110" s="148"/>
      <c r="Q110" s="139">
        <f t="shared" si="126"/>
        <v>0</v>
      </c>
    </row>
    <row r="111" spans="1:17" ht="12.75" hidden="1" customHeight="1">
      <c r="A111" s="113"/>
      <c r="B111" s="993" t="s">
        <v>371</v>
      </c>
      <c r="C111" s="948"/>
      <c r="D111" s="102" t="s">
        <v>372</v>
      </c>
      <c r="E111" s="103">
        <f t="shared" ref="E111:F113" si="129">SUM(E402)</f>
        <v>0</v>
      </c>
      <c r="F111" s="103">
        <f t="shared" si="129"/>
        <v>0</v>
      </c>
      <c r="G111" s="104">
        <f t="shared" ref="G111:G113" si="130">SUM(G402)</f>
        <v>0</v>
      </c>
      <c r="H111" s="105">
        <f t="shared" ref="H111:J113" si="131">SUM(H402)</f>
        <v>0</v>
      </c>
      <c r="I111" s="146">
        <f t="shared" si="131"/>
        <v>0</v>
      </c>
      <c r="J111" s="146">
        <f t="shared" si="131"/>
        <v>0</v>
      </c>
      <c r="K111" s="145">
        <f t="shared" si="0"/>
        <v>0</v>
      </c>
      <c r="L111" s="145">
        <f t="shared" si="1"/>
        <v>0</v>
      </c>
      <c r="M111" s="149"/>
      <c r="N111" s="149"/>
      <c r="O111" s="149"/>
      <c r="P111" s="149"/>
      <c r="Q111" s="149"/>
    </row>
    <row r="112" spans="1:17" ht="12.75" hidden="1" customHeight="1">
      <c r="A112" s="113"/>
      <c r="B112" s="993" t="s">
        <v>373</v>
      </c>
      <c r="C112" s="948"/>
      <c r="D112" s="102" t="s">
        <v>374</v>
      </c>
      <c r="E112" s="103">
        <f t="shared" si="129"/>
        <v>0</v>
      </c>
      <c r="F112" s="103">
        <f t="shared" si="129"/>
        <v>0</v>
      </c>
      <c r="G112" s="104">
        <f t="shared" si="130"/>
        <v>0</v>
      </c>
      <c r="H112" s="105">
        <f t="shared" si="131"/>
        <v>0</v>
      </c>
      <c r="I112" s="146">
        <f t="shared" si="131"/>
        <v>0</v>
      </c>
      <c r="J112" s="146">
        <f t="shared" si="131"/>
        <v>0</v>
      </c>
      <c r="K112" s="145">
        <f t="shared" si="0"/>
        <v>0</v>
      </c>
      <c r="L112" s="145">
        <f t="shared" si="1"/>
        <v>0</v>
      </c>
      <c r="M112" s="149"/>
      <c r="N112" s="149"/>
      <c r="O112" s="149"/>
      <c r="P112" s="149"/>
      <c r="Q112" s="149"/>
    </row>
    <row r="113" spans="1:17" ht="12.75" hidden="1" customHeight="1">
      <c r="A113" s="113"/>
      <c r="B113" s="993" t="s">
        <v>375</v>
      </c>
      <c r="C113" s="948"/>
      <c r="D113" s="102" t="s">
        <v>376</v>
      </c>
      <c r="E113" s="103">
        <f t="shared" si="129"/>
        <v>0</v>
      </c>
      <c r="F113" s="103">
        <f t="shared" si="129"/>
        <v>0</v>
      </c>
      <c r="G113" s="104">
        <f t="shared" si="130"/>
        <v>0</v>
      </c>
      <c r="H113" s="105">
        <f t="shared" si="131"/>
        <v>0</v>
      </c>
      <c r="I113" s="146">
        <f t="shared" si="131"/>
        <v>0</v>
      </c>
      <c r="J113" s="146">
        <f t="shared" si="131"/>
        <v>0</v>
      </c>
      <c r="K113" s="145">
        <f t="shared" si="0"/>
        <v>0</v>
      </c>
      <c r="L113" s="145">
        <f t="shared" si="1"/>
        <v>0</v>
      </c>
      <c r="M113" s="149"/>
      <c r="N113" s="149"/>
      <c r="O113" s="149"/>
      <c r="P113" s="149"/>
      <c r="Q113" s="149"/>
    </row>
    <row r="114" spans="1:17" ht="12.75" hidden="1" customHeight="1">
      <c r="A114" s="113"/>
      <c r="B114" s="993" t="s">
        <v>377</v>
      </c>
      <c r="C114" s="948"/>
      <c r="D114" s="102" t="s">
        <v>378</v>
      </c>
      <c r="E114" s="103">
        <f t="shared" ref="E114:F114" si="132">SUM(E456)</f>
        <v>0</v>
      </c>
      <c r="F114" s="103">
        <f t="shared" si="132"/>
        <v>0</v>
      </c>
      <c r="G114" s="104">
        <f t="shared" ref="G114:J114" si="133">SUM(G456)</f>
        <v>0</v>
      </c>
      <c r="H114" s="105">
        <f t="shared" si="133"/>
        <v>0</v>
      </c>
      <c r="I114" s="146">
        <f t="shared" si="133"/>
        <v>0</v>
      </c>
      <c r="J114" s="146">
        <f t="shared" si="133"/>
        <v>0</v>
      </c>
      <c r="K114" s="145">
        <f t="shared" si="0"/>
        <v>0</v>
      </c>
      <c r="L114" s="145">
        <f t="shared" si="1"/>
        <v>0</v>
      </c>
      <c r="M114" s="149"/>
      <c r="N114" s="149"/>
      <c r="O114" s="149"/>
      <c r="P114" s="149"/>
      <c r="Q114" s="149"/>
    </row>
    <row r="115" spans="1:17" ht="25.5" hidden="1" customHeight="1">
      <c r="A115" s="113"/>
      <c r="B115" s="993" t="s">
        <v>379</v>
      </c>
      <c r="C115" s="948"/>
      <c r="D115" s="122" t="s">
        <v>380</v>
      </c>
      <c r="E115" s="103">
        <f t="shared" ref="E115:F115" si="134">SUM(E405)</f>
        <v>0</v>
      </c>
      <c r="F115" s="103">
        <f t="shared" si="134"/>
        <v>0</v>
      </c>
      <c r="G115" s="104">
        <f t="shared" ref="G115:J115" si="135">SUM(G405)</f>
        <v>0</v>
      </c>
      <c r="H115" s="105">
        <f t="shared" si="135"/>
        <v>0</v>
      </c>
      <c r="I115" s="146">
        <f t="shared" si="135"/>
        <v>0</v>
      </c>
      <c r="J115" s="146">
        <f t="shared" si="135"/>
        <v>0</v>
      </c>
      <c r="K115" s="145">
        <f t="shared" si="0"/>
        <v>0</v>
      </c>
      <c r="L115" s="145">
        <f t="shared" si="1"/>
        <v>0</v>
      </c>
      <c r="M115" s="149"/>
      <c r="N115" s="149"/>
      <c r="O115" s="149"/>
      <c r="P115" s="149"/>
      <c r="Q115" s="149"/>
    </row>
    <row r="116" spans="1:17" ht="25.5" hidden="1" customHeight="1">
      <c r="A116" s="113"/>
      <c r="B116" s="993" t="s">
        <v>381</v>
      </c>
      <c r="C116" s="948"/>
      <c r="D116" s="122" t="s">
        <v>382</v>
      </c>
      <c r="E116" s="103">
        <f>E457</f>
        <v>0</v>
      </c>
      <c r="F116" s="103">
        <f>F457</f>
        <v>0</v>
      </c>
      <c r="G116" s="104">
        <f>G457</f>
        <v>0</v>
      </c>
      <c r="H116" s="105"/>
      <c r="I116" s="146"/>
      <c r="J116" s="146"/>
      <c r="K116" s="145">
        <f t="shared" si="0"/>
        <v>0</v>
      </c>
      <c r="L116" s="145">
        <f t="shared" si="1"/>
        <v>0</v>
      </c>
      <c r="M116" s="149"/>
      <c r="N116" s="149"/>
      <c r="O116" s="149"/>
      <c r="P116" s="149"/>
      <c r="Q116" s="149"/>
    </row>
    <row r="117" spans="1:17" ht="12.75" customHeight="1">
      <c r="A117" s="119"/>
      <c r="B117" s="994" t="s">
        <v>383</v>
      </c>
      <c r="C117" s="948"/>
      <c r="D117" s="108" t="s">
        <v>384</v>
      </c>
      <c r="E117" s="109">
        <f t="shared" ref="E117:F117" si="136">SUM(E406)</f>
        <v>118.5</v>
      </c>
      <c r="F117" s="109">
        <f t="shared" si="136"/>
        <v>0</v>
      </c>
      <c r="G117" s="110">
        <f t="shared" ref="G117:J117" si="137">SUM(G406)</f>
        <v>118.5</v>
      </c>
      <c r="H117" s="105">
        <f t="shared" si="137"/>
        <v>0</v>
      </c>
      <c r="I117" s="146">
        <f t="shared" si="137"/>
        <v>0</v>
      </c>
      <c r="J117" s="146">
        <f t="shared" si="137"/>
        <v>0</v>
      </c>
      <c r="K117" s="137">
        <f t="shared" si="0"/>
        <v>237</v>
      </c>
      <c r="L117" s="137">
        <f t="shared" si="1"/>
        <v>118.5</v>
      </c>
      <c r="M117" s="150"/>
      <c r="N117" s="150"/>
      <c r="O117" s="150"/>
      <c r="P117" s="150"/>
      <c r="Q117" s="139">
        <f t="shared" ref="Q117:Q118" si="138">E117-G117</f>
        <v>0</v>
      </c>
    </row>
    <row r="118" spans="1:17" ht="12.75" customHeight="1">
      <c r="A118" s="990" t="s">
        <v>385</v>
      </c>
      <c r="B118" s="948"/>
      <c r="C118" s="948"/>
      <c r="D118" s="92" t="s">
        <v>386</v>
      </c>
      <c r="E118" s="93">
        <f t="shared" ref="E118:F118" si="139">SUM(E119:E123)</f>
        <v>0</v>
      </c>
      <c r="F118" s="93">
        <f t="shared" si="139"/>
        <v>0</v>
      </c>
      <c r="G118" s="94">
        <f t="shared" ref="G118:J118" si="140">SUM(G119:G123)</f>
        <v>0</v>
      </c>
      <c r="H118" s="96">
        <f t="shared" si="140"/>
        <v>0</v>
      </c>
      <c r="I118" s="141">
        <f t="shared" si="140"/>
        <v>0</v>
      </c>
      <c r="J118" s="141">
        <f t="shared" si="140"/>
        <v>0</v>
      </c>
      <c r="K118" s="137">
        <f t="shared" si="0"/>
        <v>0</v>
      </c>
      <c r="L118" s="137"/>
      <c r="M118" s="150"/>
      <c r="N118" s="150"/>
      <c r="O118" s="150"/>
      <c r="P118" s="150"/>
      <c r="Q118" s="139">
        <f t="shared" si="138"/>
        <v>0</v>
      </c>
    </row>
    <row r="119" spans="1:17" ht="12.75" hidden="1" customHeight="1">
      <c r="A119" s="119"/>
      <c r="B119" s="994" t="s">
        <v>387</v>
      </c>
      <c r="C119" s="948"/>
      <c r="D119" s="108" t="s">
        <v>388</v>
      </c>
      <c r="E119" s="109">
        <f t="shared" ref="E119:F120" si="141">SUM(E408)</f>
        <v>0</v>
      </c>
      <c r="F119" s="109">
        <f t="shared" si="141"/>
        <v>0</v>
      </c>
      <c r="G119" s="104">
        <f t="shared" ref="G119:G120" si="142">SUM(G408)</f>
        <v>0</v>
      </c>
      <c r="H119" s="105">
        <f t="shared" ref="H119:J120" si="143">SUM(H408)</f>
        <v>0</v>
      </c>
      <c r="I119" s="146">
        <f t="shared" si="143"/>
        <v>0</v>
      </c>
      <c r="J119" s="146">
        <f t="shared" si="143"/>
        <v>0</v>
      </c>
      <c r="K119" s="145">
        <f t="shared" si="0"/>
        <v>0</v>
      </c>
      <c r="L119" s="145">
        <f t="shared" ref="L119:L143" si="144">IF(G119&lt;&gt;0,G119,0)</f>
        <v>0</v>
      </c>
      <c r="M119" s="147"/>
      <c r="N119" s="147"/>
      <c r="O119" s="147"/>
      <c r="P119" s="147"/>
      <c r="Q119" s="147"/>
    </row>
    <row r="120" spans="1:17" ht="24.75" customHeight="1">
      <c r="A120" s="119"/>
      <c r="B120" s="994" t="s">
        <v>389</v>
      </c>
      <c r="C120" s="948"/>
      <c r="D120" s="108" t="s">
        <v>390</v>
      </c>
      <c r="E120" s="109">
        <f t="shared" si="141"/>
        <v>-32759.8</v>
      </c>
      <c r="F120" s="109">
        <f t="shared" si="141"/>
        <v>0</v>
      </c>
      <c r="G120" s="110">
        <f t="shared" si="142"/>
        <v>-32759.8</v>
      </c>
      <c r="H120" s="105">
        <f t="shared" si="143"/>
        <v>0</v>
      </c>
      <c r="I120" s="146">
        <f t="shared" si="143"/>
        <v>0</v>
      </c>
      <c r="J120" s="146">
        <f t="shared" si="143"/>
        <v>0</v>
      </c>
      <c r="K120" s="137">
        <f t="shared" si="0"/>
        <v>-65519.6</v>
      </c>
      <c r="L120" s="137">
        <f t="shared" si="144"/>
        <v>-32759.8</v>
      </c>
      <c r="M120" s="150"/>
      <c r="N120" s="150"/>
      <c r="O120" s="150"/>
      <c r="P120" s="150"/>
      <c r="Q120" s="150"/>
    </row>
    <row r="121" spans="1:17" ht="12.75" customHeight="1">
      <c r="A121" s="119"/>
      <c r="B121" s="994" t="s">
        <v>391</v>
      </c>
      <c r="C121" s="948"/>
      <c r="D121" s="108" t="s">
        <v>392</v>
      </c>
      <c r="E121" s="109">
        <f t="shared" ref="E121:F122" si="145">SUM(E459)</f>
        <v>32759.8</v>
      </c>
      <c r="F121" s="109">
        <f t="shared" si="145"/>
        <v>0</v>
      </c>
      <c r="G121" s="110">
        <f t="shared" ref="G121:G122" si="146">SUM(G459)</f>
        <v>32759.8</v>
      </c>
      <c r="H121" s="105">
        <f t="shared" ref="H121:J121" si="147">SUM(H459)</f>
        <v>0</v>
      </c>
      <c r="I121" s="146">
        <f t="shared" si="147"/>
        <v>0</v>
      </c>
      <c r="J121" s="146">
        <f t="shared" si="147"/>
        <v>0</v>
      </c>
      <c r="K121" s="137">
        <f t="shared" si="0"/>
        <v>65519.6</v>
      </c>
      <c r="L121" s="137">
        <f t="shared" si="144"/>
        <v>32759.8</v>
      </c>
      <c r="M121" s="150"/>
      <c r="N121" s="150"/>
      <c r="O121" s="150"/>
      <c r="P121" s="150"/>
      <c r="Q121" s="150"/>
    </row>
    <row r="122" spans="1:17" ht="12.75" hidden="1" customHeight="1">
      <c r="A122" s="119"/>
      <c r="B122" s="994" t="s">
        <v>393</v>
      </c>
      <c r="C122" s="948"/>
      <c r="D122" s="108" t="s">
        <v>394</v>
      </c>
      <c r="E122" s="109">
        <f t="shared" si="145"/>
        <v>0</v>
      </c>
      <c r="F122" s="109">
        <f t="shared" si="145"/>
        <v>0</v>
      </c>
      <c r="G122" s="110">
        <f t="shared" si="146"/>
        <v>0</v>
      </c>
      <c r="H122" s="105"/>
      <c r="I122" s="146"/>
      <c r="J122" s="146"/>
      <c r="K122" s="137">
        <f t="shared" si="0"/>
        <v>0</v>
      </c>
      <c r="L122" s="137">
        <f t="shared" si="144"/>
        <v>0</v>
      </c>
      <c r="M122" s="150"/>
      <c r="N122" s="150"/>
      <c r="O122" s="150"/>
      <c r="P122" s="150"/>
      <c r="Q122" s="150"/>
    </row>
    <row r="123" spans="1:17" ht="12.75" hidden="1" customHeight="1">
      <c r="A123" s="113"/>
      <c r="B123" s="993" t="s">
        <v>395</v>
      </c>
      <c r="C123" s="948"/>
      <c r="D123" s="122" t="s">
        <v>396</v>
      </c>
      <c r="E123" s="103">
        <f t="shared" ref="E123:F123" si="148">SUM(E410)</f>
        <v>0</v>
      </c>
      <c r="F123" s="103">
        <f t="shared" si="148"/>
        <v>0</v>
      </c>
      <c r="G123" s="104">
        <f t="shared" ref="G123:J123" si="149">SUM(G410)</f>
        <v>0</v>
      </c>
      <c r="H123" s="105">
        <f t="shared" si="149"/>
        <v>0</v>
      </c>
      <c r="I123" s="146">
        <f t="shared" si="149"/>
        <v>0</v>
      </c>
      <c r="J123" s="146">
        <f t="shared" si="149"/>
        <v>0</v>
      </c>
      <c r="K123" s="145">
        <f t="shared" si="0"/>
        <v>0</v>
      </c>
      <c r="L123" s="145">
        <f t="shared" si="144"/>
        <v>0</v>
      </c>
      <c r="M123" s="147"/>
      <c r="N123" s="147"/>
      <c r="O123" s="147"/>
      <c r="P123" s="147"/>
      <c r="Q123" s="147"/>
    </row>
    <row r="124" spans="1:17" ht="12.75" hidden="1" customHeight="1">
      <c r="A124" s="990" t="s">
        <v>397</v>
      </c>
      <c r="B124" s="948"/>
      <c r="C124" s="948"/>
      <c r="D124" s="164" t="s">
        <v>398</v>
      </c>
      <c r="E124" s="93">
        <f t="shared" ref="E124:F124" si="150">SUM(E126:E130)</f>
        <v>0</v>
      </c>
      <c r="F124" s="93">
        <f t="shared" si="150"/>
        <v>0</v>
      </c>
      <c r="G124" s="99">
        <f t="shared" ref="G124:J124" si="151">SUM(G126:G130)</f>
        <v>0</v>
      </c>
      <c r="H124" s="96">
        <f t="shared" si="151"/>
        <v>0</v>
      </c>
      <c r="I124" s="141">
        <f t="shared" si="151"/>
        <v>0</v>
      </c>
      <c r="J124" s="141">
        <f t="shared" si="151"/>
        <v>0</v>
      </c>
      <c r="K124" s="145">
        <f t="shared" si="0"/>
        <v>0</v>
      </c>
      <c r="L124" s="145">
        <f t="shared" si="144"/>
        <v>0</v>
      </c>
      <c r="M124" s="147"/>
      <c r="N124" s="147"/>
      <c r="O124" s="147"/>
      <c r="P124" s="147"/>
      <c r="Q124" s="147"/>
    </row>
    <row r="125" spans="1:17" ht="17.25" hidden="1" customHeight="1">
      <c r="A125" s="119"/>
      <c r="B125" s="1001" t="s">
        <v>399</v>
      </c>
      <c r="C125" s="948"/>
      <c r="D125" s="164" t="s">
        <v>400</v>
      </c>
      <c r="E125" s="93">
        <f t="shared" ref="E125:F125" si="152">SUM(E126:E129)</f>
        <v>0</v>
      </c>
      <c r="F125" s="93">
        <f t="shared" si="152"/>
        <v>0</v>
      </c>
      <c r="G125" s="99">
        <f t="shared" ref="G125:J125" si="153">SUM(G126:G129)</f>
        <v>0</v>
      </c>
      <c r="H125" s="96">
        <f t="shared" si="153"/>
        <v>0</v>
      </c>
      <c r="I125" s="141">
        <f t="shared" si="153"/>
        <v>0</v>
      </c>
      <c r="J125" s="141">
        <f t="shared" si="153"/>
        <v>0</v>
      </c>
      <c r="K125" s="145">
        <f t="shared" si="0"/>
        <v>0</v>
      </c>
      <c r="L125" s="145">
        <f t="shared" si="144"/>
        <v>0</v>
      </c>
      <c r="M125" s="147"/>
      <c r="N125" s="147"/>
      <c r="O125" s="147"/>
      <c r="P125" s="147"/>
      <c r="Q125" s="147"/>
    </row>
    <row r="126" spans="1:17" ht="12.75" hidden="1" customHeight="1">
      <c r="A126" s="113"/>
      <c r="B126" s="993" t="s">
        <v>401</v>
      </c>
      <c r="C126" s="948"/>
      <c r="D126" s="102" t="s">
        <v>402</v>
      </c>
      <c r="E126" s="103">
        <f t="shared" ref="E126:F126" si="154">SUM(E463)</f>
        <v>0</v>
      </c>
      <c r="F126" s="103">
        <f t="shared" si="154"/>
        <v>0</v>
      </c>
      <c r="G126" s="104">
        <f t="shared" ref="G126" si="155">SUM(G463)</f>
        <v>0</v>
      </c>
      <c r="H126" s="105">
        <f t="shared" ref="H126:J130" si="156">SUM(H463)</f>
        <v>0</v>
      </c>
      <c r="I126" s="146">
        <f t="shared" si="156"/>
        <v>0</v>
      </c>
      <c r="J126" s="146">
        <f t="shared" si="156"/>
        <v>0</v>
      </c>
      <c r="K126" s="145">
        <f t="shared" si="0"/>
        <v>0</v>
      </c>
      <c r="L126" s="145">
        <f t="shared" si="144"/>
        <v>0</v>
      </c>
      <c r="M126" s="147"/>
      <c r="N126" s="147"/>
      <c r="O126" s="147"/>
      <c r="P126" s="147"/>
      <c r="Q126" s="147"/>
    </row>
    <row r="127" spans="1:17" ht="12.75" hidden="1" customHeight="1">
      <c r="A127" s="119"/>
      <c r="B127" s="994" t="s">
        <v>403</v>
      </c>
      <c r="C127" s="948"/>
      <c r="D127" s="163" t="s">
        <v>404</v>
      </c>
      <c r="E127" s="109">
        <f t="shared" ref="E127:F130" si="157">SUM(E464)</f>
        <v>0</v>
      </c>
      <c r="F127" s="109">
        <f t="shared" si="157"/>
        <v>0</v>
      </c>
      <c r="G127" s="104">
        <f t="shared" ref="G127:G130" si="158">SUM(G464)</f>
        <v>0</v>
      </c>
      <c r="H127" s="105">
        <f t="shared" si="156"/>
        <v>0</v>
      </c>
      <c r="I127" s="146">
        <f t="shared" si="156"/>
        <v>0</v>
      </c>
      <c r="J127" s="146">
        <f t="shared" si="156"/>
        <v>0</v>
      </c>
      <c r="K127" s="145">
        <f t="shared" si="0"/>
        <v>0</v>
      </c>
      <c r="L127" s="145">
        <f t="shared" si="144"/>
        <v>0</v>
      </c>
      <c r="M127" s="149"/>
      <c r="N127" s="149"/>
      <c r="O127" s="149"/>
      <c r="P127" s="149"/>
      <c r="Q127" s="149"/>
    </row>
    <row r="128" spans="1:17" ht="12.75" hidden="1" customHeight="1">
      <c r="A128" s="113"/>
      <c r="B128" s="993" t="s">
        <v>405</v>
      </c>
      <c r="C128" s="948"/>
      <c r="D128" s="102" t="s">
        <v>406</v>
      </c>
      <c r="E128" s="103">
        <f t="shared" si="157"/>
        <v>0</v>
      </c>
      <c r="F128" s="103">
        <f t="shared" si="157"/>
        <v>0</v>
      </c>
      <c r="G128" s="104">
        <f t="shared" si="158"/>
        <v>0</v>
      </c>
      <c r="H128" s="105">
        <f t="shared" si="156"/>
        <v>0</v>
      </c>
      <c r="I128" s="146">
        <f t="shared" si="156"/>
        <v>0</v>
      </c>
      <c r="J128" s="146">
        <f t="shared" si="156"/>
        <v>0</v>
      </c>
      <c r="K128" s="145">
        <f t="shared" si="0"/>
        <v>0</v>
      </c>
      <c r="L128" s="145">
        <f t="shared" si="144"/>
        <v>0</v>
      </c>
      <c r="M128" s="151"/>
      <c r="N128" s="151"/>
      <c r="O128" s="151"/>
      <c r="P128" s="151"/>
      <c r="Q128" s="151"/>
    </row>
    <row r="129" spans="1:17" ht="30" hidden="1" customHeight="1">
      <c r="A129" s="113"/>
      <c r="B129" s="993" t="s">
        <v>407</v>
      </c>
      <c r="C129" s="948"/>
      <c r="D129" s="102" t="s">
        <v>408</v>
      </c>
      <c r="E129" s="103">
        <f t="shared" si="157"/>
        <v>0</v>
      </c>
      <c r="F129" s="103">
        <f t="shared" si="157"/>
        <v>0</v>
      </c>
      <c r="G129" s="104">
        <f t="shared" si="158"/>
        <v>0</v>
      </c>
      <c r="H129" s="105">
        <f t="shared" si="156"/>
        <v>0</v>
      </c>
      <c r="I129" s="146">
        <f t="shared" si="156"/>
        <v>0</v>
      </c>
      <c r="J129" s="146">
        <f t="shared" si="156"/>
        <v>0</v>
      </c>
      <c r="K129" s="145">
        <f t="shared" si="0"/>
        <v>0</v>
      </c>
      <c r="L129" s="145">
        <f t="shared" si="144"/>
        <v>0</v>
      </c>
      <c r="M129" s="167"/>
      <c r="N129" s="167"/>
      <c r="O129" s="167"/>
      <c r="P129" s="167"/>
      <c r="Q129" s="167"/>
    </row>
    <row r="130" spans="1:17" ht="12.75" hidden="1" customHeight="1">
      <c r="A130" s="113"/>
      <c r="B130" s="993" t="s">
        <v>409</v>
      </c>
      <c r="C130" s="948"/>
      <c r="D130" s="102" t="s">
        <v>410</v>
      </c>
      <c r="E130" s="103">
        <f t="shared" si="157"/>
        <v>0</v>
      </c>
      <c r="F130" s="103">
        <f t="shared" si="157"/>
        <v>0</v>
      </c>
      <c r="G130" s="104">
        <f t="shared" si="158"/>
        <v>0</v>
      </c>
      <c r="H130" s="105">
        <f t="shared" si="156"/>
        <v>0</v>
      </c>
      <c r="I130" s="146">
        <f t="shared" si="156"/>
        <v>0</v>
      </c>
      <c r="J130" s="146">
        <f t="shared" si="156"/>
        <v>0</v>
      </c>
      <c r="K130" s="145">
        <f t="shared" si="0"/>
        <v>0</v>
      </c>
      <c r="L130" s="145">
        <f t="shared" si="144"/>
        <v>0</v>
      </c>
      <c r="M130" s="149"/>
      <c r="N130" s="149"/>
      <c r="O130" s="149"/>
      <c r="P130" s="149"/>
      <c r="Q130" s="149"/>
    </row>
    <row r="131" spans="1:17" ht="12.75" hidden="1" customHeight="1">
      <c r="A131" s="989" t="s">
        <v>411</v>
      </c>
      <c r="B131" s="948"/>
      <c r="C131" s="948"/>
      <c r="D131" s="165" t="s">
        <v>412</v>
      </c>
      <c r="E131" s="98">
        <f t="shared" ref="E131:F131" si="159">SUM(E132)</f>
        <v>0</v>
      </c>
      <c r="F131" s="98">
        <f t="shared" si="159"/>
        <v>0</v>
      </c>
      <c r="G131" s="99">
        <f t="shared" ref="G131:J131" si="160">SUM(G132)</f>
        <v>0</v>
      </c>
      <c r="H131" s="96">
        <f t="shared" si="160"/>
        <v>0</v>
      </c>
      <c r="I131" s="141">
        <f t="shared" si="160"/>
        <v>0</v>
      </c>
      <c r="J131" s="141">
        <f t="shared" si="160"/>
        <v>0</v>
      </c>
      <c r="K131" s="145">
        <f t="shared" si="0"/>
        <v>0</v>
      </c>
      <c r="L131" s="145">
        <f t="shared" si="144"/>
        <v>0</v>
      </c>
      <c r="M131" s="156"/>
      <c r="N131" s="156"/>
      <c r="O131" s="156"/>
      <c r="P131" s="156"/>
      <c r="Q131" s="156"/>
    </row>
    <row r="132" spans="1:17" ht="12.75" hidden="1" customHeight="1">
      <c r="A132" s="989" t="s">
        <v>413</v>
      </c>
      <c r="B132" s="948"/>
      <c r="C132" s="948"/>
      <c r="D132" s="165" t="s">
        <v>414</v>
      </c>
      <c r="E132" s="98">
        <f t="shared" ref="E132:F132" si="161">SUM(E133:E140)</f>
        <v>0</v>
      </c>
      <c r="F132" s="98">
        <f t="shared" si="161"/>
        <v>0</v>
      </c>
      <c r="G132" s="99">
        <f t="shared" ref="G132:J132" si="162">SUM(G133:G140)</f>
        <v>0</v>
      </c>
      <c r="H132" s="96">
        <f t="shared" si="162"/>
        <v>0</v>
      </c>
      <c r="I132" s="141">
        <f t="shared" si="162"/>
        <v>0</v>
      </c>
      <c r="J132" s="141">
        <f t="shared" si="162"/>
        <v>0</v>
      </c>
      <c r="K132" s="145">
        <f t="shared" si="0"/>
        <v>0</v>
      </c>
      <c r="L132" s="145">
        <f t="shared" si="144"/>
        <v>0</v>
      </c>
      <c r="M132" s="11"/>
      <c r="N132" s="11"/>
      <c r="O132" s="11"/>
      <c r="P132" s="11"/>
      <c r="Q132" s="11"/>
    </row>
    <row r="133" spans="1:17" ht="39" hidden="1" customHeight="1">
      <c r="A133" s="113"/>
      <c r="B133" s="993" t="s">
        <v>415</v>
      </c>
      <c r="C133" s="948"/>
      <c r="D133" s="102" t="s">
        <v>416</v>
      </c>
      <c r="E133" s="103">
        <f t="shared" ref="E133:F133" si="163">SUM(E413)</f>
        <v>0</v>
      </c>
      <c r="F133" s="103">
        <f t="shared" si="163"/>
        <v>0</v>
      </c>
      <c r="G133" s="104">
        <f t="shared" ref="G133" si="164">SUM(G413)</f>
        <v>0</v>
      </c>
      <c r="H133" s="105">
        <f t="shared" ref="H133:J136" si="165">SUM(H413)</f>
        <v>0</v>
      </c>
      <c r="I133" s="146">
        <f t="shared" si="165"/>
        <v>0</v>
      </c>
      <c r="J133" s="146">
        <f t="shared" si="165"/>
        <v>0</v>
      </c>
      <c r="K133" s="145">
        <f t="shared" si="0"/>
        <v>0</v>
      </c>
      <c r="L133" s="145">
        <f t="shared" si="144"/>
        <v>0</v>
      </c>
      <c r="M133" s="5"/>
      <c r="N133" s="5"/>
      <c r="O133" s="5"/>
      <c r="P133" s="5"/>
      <c r="Q133" s="5"/>
    </row>
    <row r="134" spans="1:17" ht="12.75" hidden="1" customHeight="1">
      <c r="A134" s="113"/>
      <c r="B134" s="993" t="s">
        <v>417</v>
      </c>
      <c r="C134" s="948"/>
      <c r="D134" s="102" t="s">
        <v>418</v>
      </c>
      <c r="E134" s="103">
        <f t="shared" ref="E134:F136" si="166">SUM(E414)</f>
        <v>0</v>
      </c>
      <c r="F134" s="103">
        <f t="shared" si="166"/>
        <v>0</v>
      </c>
      <c r="G134" s="104">
        <f t="shared" ref="G134:G136" si="167">SUM(G414)</f>
        <v>0</v>
      </c>
      <c r="H134" s="105">
        <f t="shared" si="165"/>
        <v>0</v>
      </c>
      <c r="I134" s="146">
        <f t="shared" si="165"/>
        <v>0</v>
      </c>
      <c r="J134" s="146">
        <f t="shared" si="165"/>
        <v>0</v>
      </c>
      <c r="K134" s="145">
        <f t="shared" si="0"/>
        <v>0</v>
      </c>
      <c r="L134" s="145">
        <f t="shared" si="144"/>
        <v>0</v>
      </c>
      <c r="M134" s="168"/>
      <c r="N134" s="168"/>
      <c r="O134" s="168"/>
      <c r="P134" s="168"/>
      <c r="Q134" s="168"/>
    </row>
    <row r="135" spans="1:17" ht="12.75" hidden="1" customHeight="1">
      <c r="A135" s="113"/>
      <c r="B135" s="993" t="s">
        <v>419</v>
      </c>
      <c r="C135" s="948"/>
      <c r="D135" s="102" t="s">
        <v>420</v>
      </c>
      <c r="E135" s="103">
        <f t="shared" si="166"/>
        <v>0</v>
      </c>
      <c r="F135" s="103">
        <f t="shared" si="166"/>
        <v>0</v>
      </c>
      <c r="G135" s="104">
        <f t="shared" si="167"/>
        <v>0</v>
      </c>
      <c r="H135" s="105">
        <f t="shared" si="165"/>
        <v>0</v>
      </c>
      <c r="I135" s="146">
        <f t="shared" si="165"/>
        <v>0</v>
      </c>
      <c r="J135" s="146">
        <f t="shared" si="165"/>
        <v>0</v>
      </c>
      <c r="K135" s="145">
        <f t="shared" si="0"/>
        <v>0</v>
      </c>
      <c r="L135" s="145">
        <f t="shared" si="144"/>
        <v>0</v>
      </c>
      <c r="M135" s="11"/>
      <c r="N135" s="11"/>
      <c r="O135" s="11"/>
      <c r="P135" s="11"/>
      <c r="Q135" s="11"/>
    </row>
    <row r="136" spans="1:17" ht="30" hidden="1" customHeight="1">
      <c r="A136" s="113"/>
      <c r="B136" s="993" t="s">
        <v>421</v>
      </c>
      <c r="C136" s="948"/>
      <c r="D136" s="102" t="s">
        <v>422</v>
      </c>
      <c r="E136" s="103">
        <f t="shared" si="166"/>
        <v>0</v>
      </c>
      <c r="F136" s="103">
        <f t="shared" si="166"/>
        <v>0</v>
      </c>
      <c r="G136" s="104">
        <f t="shared" si="167"/>
        <v>0</v>
      </c>
      <c r="H136" s="105">
        <f t="shared" si="165"/>
        <v>0</v>
      </c>
      <c r="I136" s="146">
        <f t="shared" si="165"/>
        <v>0</v>
      </c>
      <c r="J136" s="146">
        <f t="shared" si="165"/>
        <v>0</v>
      </c>
      <c r="K136" s="145">
        <f t="shared" si="0"/>
        <v>0</v>
      </c>
      <c r="L136" s="145">
        <f t="shared" si="144"/>
        <v>0</v>
      </c>
      <c r="M136" s="5"/>
      <c r="N136" s="5"/>
      <c r="O136" s="5"/>
      <c r="P136" s="5"/>
      <c r="Q136" s="5"/>
    </row>
    <row r="137" spans="1:17" ht="30" hidden="1" customHeight="1">
      <c r="A137" s="113"/>
      <c r="B137" s="993" t="s">
        <v>423</v>
      </c>
      <c r="C137" s="948"/>
      <c r="D137" s="102" t="s">
        <v>424</v>
      </c>
      <c r="E137" s="103">
        <f t="shared" ref="E137:F139" si="168">SUM(E470)</f>
        <v>0</v>
      </c>
      <c r="F137" s="103">
        <f t="shared" si="168"/>
        <v>0</v>
      </c>
      <c r="G137" s="104">
        <f t="shared" ref="G137:J139" si="169">SUM(G470)</f>
        <v>0</v>
      </c>
      <c r="H137" s="105">
        <f t="shared" si="169"/>
        <v>0</v>
      </c>
      <c r="I137" s="146">
        <f t="shared" si="169"/>
        <v>0</v>
      </c>
      <c r="J137" s="146">
        <f t="shared" si="169"/>
        <v>0</v>
      </c>
      <c r="K137" s="145">
        <f t="shared" si="0"/>
        <v>0</v>
      </c>
      <c r="L137" s="145">
        <f t="shared" si="144"/>
        <v>0</v>
      </c>
      <c r="M137" s="5"/>
      <c r="N137" s="5"/>
      <c r="O137" s="5"/>
      <c r="P137" s="5"/>
      <c r="Q137" s="5"/>
    </row>
    <row r="138" spans="1:17" ht="12.75" hidden="1" customHeight="1">
      <c r="A138" s="113"/>
      <c r="B138" s="993" t="s">
        <v>425</v>
      </c>
      <c r="C138" s="948"/>
      <c r="D138" s="122" t="s">
        <v>426</v>
      </c>
      <c r="E138" s="103">
        <f t="shared" si="168"/>
        <v>0</v>
      </c>
      <c r="F138" s="103">
        <f t="shared" si="168"/>
        <v>0</v>
      </c>
      <c r="G138" s="104">
        <f t="shared" si="169"/>
        <v>0</v>
      </c>
      <c r="H138" s="105">
        <f t="shared" si="169"/>
        <v>0</v>
      </c>
      <c r="I138" s="146">
        <f t="shared" si="169"/>
        <v>0</v>
      </c>
      <c r="J138" s="146">
        <f t="shared" si="169"/>
        <v>0</v>
      </c>
      <c r="K138" s="145">
        <f t="shared" si="0"/>
        <v>0</v>
      </c>
      <c r="L138" s="145">
        <f t="shared" si="144"/>
        <v>0</v>
      </c>
      <c r="M138" s="5"/>
      <c r="N138" s="5"/>
      <c r="O138" s="5"/>
      <c r="P138" s="5"/>
      <c r="Q138" s="5"/>
    </row>
    <row r="139" spans="1:17" ht="30" hidden="1" customHeight="1">
      <c r="A139" s="113"/>
      <c r="B139" s="993" t="s">
        <v>427</v>
      </c>
      <c r="C139" s="948"/>
      <c r="D139" s="102" t="s">
        <v>428</v>
      </c>
      <c r="E139" s="103">
        <f t="shared" si="168"/>
        <v>0</v>
      </c>
      <c r="F139" s="103">
        <f t="shared" si="168"/>
        <v>0</v>
      </c>
      <c r="G139" s="104">
        <f t="shared" si="169"/>
        <v>0</v>
      </c>
      <c r="H139" s="105">
        <f t="shared" si="169"/>
        <v>0</v>
      </c>
      <c r="I139" s="146">
        <f t="shared" si="169"/>
        <v>0</v>
      </c>
      <c r="J139" s="146">
        <f t="shared" si="169"/>
        <v>0</v>
      </c>
      <c r="K139" s="145">
        <f t="shared" si="0"/>
        <v>0</v>
      </c>
      <c r="L139" s="145">
        <f t="shared" si="144"/>
        <v>0</v>
      </c>
      <c r="M139" s="5"/>
      <c r="N139" s="5"/>
      <c r="O139" s="5"/>
      <c r="P139" s="5"/>
      <c r="Q139" s="5"/>
    </row>
    <row r="140" spans="1:17" ht="12.75" hidden="1" customHeight="1">
      <c r="A140" s="113"/>
      <c r="B140" s="993" t="s">
        <v>429</v>
      </c>
      <c r="C140" s="948"/>
      <c r="D140" s="102" t="s">
        <v>430</v>
      </c>
      <c r="E140" s="103">
        <f t="shared" ref="E140:F140" si="170">SUM(E417)</f>
        <v>0</v>
      </c>
      <c r="F140" s="103">
        <f t="shared" si="170"/>
        <v>0</v>
      </c>
      <c r="G140" s="104">
        <f t="shared" ref="G140:J140" si="171">SUM(G417)</f>
        <v>0</v>
      </c>
      <c r="H140" s="105">
        <f t="shared" si="171"/>
        <v>0</v>
      </c>
      <c r="I140" s="146">
        <f t="shared" si="171"/>
        <v>0</v>
      </c>
      <c r="J140" s="146">
        <f t="shared" si="171"/>
        <v>0</v>
      </c>
      <c r="K140" s="145">
        <f t="shared" si="0"/>
        <v>0</v>
      </c>
      <c r="L140" s="145">
        <f t="shared" si="144"/>
        <v>0</v>
      </c>
      <c r="M140" s="168"/>
      <c r="N140" s="168"/>
      <c r="O140" s="168"/>
      <c r="P140" s="168"/>
      <c r="Q140" s="168"/>
    </row>
    <row r="141" spans="1:17" ht="12.75" customHeight="1">
      <c r="A141" s="990" t="s">
        <v>431</v>
      </c>
      <c r="B141" s="948"/>
      <c r="C141" s="948"/>
      <c r="D141" s="92" t="s">
        <v>432</v>
      </c>
      <c r="E141" s="93">
        <f>SUM(E142)</f>
        <v>122885.67</v>
      </c>
      <c r="F141" s="93">
        <f>SUM(F142)</f>
        <v>0</v>
      </c>
      <c r="G141" s="94">
        <f t="shared" ref="G141:J141" si="172">SUM(G142)</f>
        <v>122885.67</v>
      </c>
      <c r="H141" s="96" t="e">
        <f t="shared" si="172"/>
        <v>#REF!</v>
      </c>
      <c r="I141" s="141" t="e">
        <f t="shared" si="172"/>
        <v>#REF!</v>
      </c>
      <c r="J141" s="141" t="e">
        <f t="shared" si="172"/>
        <v>#REF!</v>
      </c>
      <c r="K141" s="137">
        <f t="shared" si="0"/>
        <v>245771.34</v>
      </c>
      <c r="L141" s="137">
        <f t="shared" si="144"/>
        <v>122885.67</v>
      </c>
      <c r="M141" s="132"/>
      <c r="N141" s="132"/>
      <c r="O141" s="132"/>
      <c r="P141" s="132"/>
      <c r="Q141" s="139">
        <f t="shared" ref="Q141:Q143" si="173">E141-G141</f>
        <v>0</v>
      </c>
    </row>
    <row r="142" spans="1:17" ht="12.75" customHeight="1">
      <c r="A142" s="990" t="s">
        <v>433</v>
      </c>
      <c r="B142" s="948"/>
      <c r="C142" s="948"/>
      <c r="D142" s="92" t="s">
        <v>434</v>
      </c>
      <c r="E142" s="93">
        <f>SUM(E143,E206)</f>
        <v>122885.67</v>
      </c>
      <c r="F142" s="93">
        <f>SUM(F143,F206)</f>
        <v>0</v>
      </c>
      <c r="G142" s="94">
        <f t="shared" ref="G142:J142" si="174">SUM(G143,G206)</f>
        <v>122885.67</v>
      </c>
      <c r="H142" s="96" t="e">
        <f t="shared" si="174"/>
        <v>#REF!</v>
      </c>
      <c r="I142" s="141" t="e">
        <f t="shared" si="174"/>
        <v>#REF!</v>
      </c>
      <c r="J142" s="141" t="e">
        <f t="shared" si="174"/>
        <v>#REF!</v>
      </c>
      <c r="K142" s="137">
        <f t="shared" si="0"/>
        <v>245771.34</v>
      </c>
      <c r="L142" s="137">
        <f t="shared" si="144"/>
        <v>122885.67</v>
      </c>
      <c r="M142" s="169"/>
      <c r="N142" s="169"/>
      <c r="O142" s="169"/>
      <c r="P142" s="169"/>
      <c r="Q142" s="139">
        <f t="shared" si="173"/>
        <v>0</v>
      </c>
    </row>
    <row r="143" spans="1:17" ht="12.75" customHeight="1">
      <c r="A143" s="990" t="s">
        <v>435</v>
      </c>
      <c r="B143" s="948"/>
      <c r="C143" s="948"/>
      <c r="D143" s="92" t="s">
        <v>436</v>
      </c>
      <c r="E143" s="93">
        <f>SUM(E144,E171)</f>
        <v>107683.97</v>
      </c>
      <c r="F143" s="93">
        <f>SUM(F144,F171)</f>
        <v>0</v>
      </c>
      <c r="G143" s="94">
        <f t="shared" ref="G143:J143" si="175">SUM(G144,G171)</f>
        <v>107683.97</v>
      </c>
      <c r="H143" s="96" t="e">
        <f t="shared" si="175"/>
        <v>#REF!</v>
      </c>
      <c r="I143" s="141" t="e">
        <f t="shared" si="175"/>
        <v>#REF!</v>
      </c>
      <c r="J143" s="141" t="e">
        <f t="shared" si="175"/>
        <v>#REF!</v>
      </c>
      <c r="K143" s="137">
        <f t="shared" si="0"/>
        <v>215367.94</v>
      </c>
      <c r="L143" s="137">
        <f t="shared" si="144"/>
        <v>107683.97</v>
      </c>
      <c r="M143" s="144"/>
      <c r="N143" s="144"/>
      <c r="O143" s="144"/>
      <c r="P143" s="144"/>
      <c r="Q143" s="139">
        <f t="shared" si="173"/>
        <v>0</v>
      </c>
    </row>
    <row r="144" spans="1:17" ht="12.75" hidden="1" customHeight="1">
      <c r="A144" s="989" t="s">
        <v>437</v>
      </c>
      <c r="B144" s="948"/>
      <c r="C144" s="948"/>
      <c r="D144" s="97" t="s">
        <v>438</v>
      </c>
      <c r="E144" s="98">
        <f t="shared" ref="E144:F144" si="176">SUM(E145:E151,E155:E160,E164,E169:E170,E165)</f>
        <v>23183</v>
      </c>
      <c r="F144" s="98">
        <f t="shared" si="176"/>
        <v>0</v>
      </c>
      <c r="G144" s="99">
        <f t="shared" ref="G144:J144" si="177">SUM(G145:G151,G155:G160,G164,G169:G170,G165)</f>
        <v>23183</v>
      </c>
      <c r="H144" s="96">
        <f t="shared" si="177"/>
        <v>0</v>
      </c>
      <c r="I144" s="141">
        <f t="shared" si="177"/>
        <v>0</v>
      </c>
      <c r="J144" s="141">
        <f t="shared" si="177"/>
        <v>0</v>
      </c>
      <c r="K144" s="145">
        <v>0</v>
      </c>
      <c r="L144" s="145">
        <v>0</v>
      </c>
      <c r="M144" s="5"/>
      <c r="N144" s="5"/>
      <c r="O144" s="5"/>
      <c r="P144" s="5"/>
      <c r="Q144" s="5"/>
    </row>
    <row r="145" spans="1:17" ht="12.75" hidden="1" customHeight="1">
      <c r="A145" s="100"/>
      <c r="B145" s="993" t="s">
        <v>439</v>
      </c>
      <c r="C145" s="948"/>
      <c r="D145" s="102" t="s">
        <v>440</v>
      </c>
      <c r="E145" s="103">
        <f t="shared" ref="E145:F146" si="178">SUM(E477)</f>
        <v>0</v>
      </c>
      <c r="F145" s="103">
        <f t="shared" si="178"/>
        <v>0</v>
      </c>
      <c r="G145" s="104">
        <f t="shared" ref="G145:G146" si="179">SUM(G477)</f>
        <v>0</v>
      </c>
      <c r="H145" s="105">
        <f t="shared" ref="H145:J146" si="180">SUM(H477)</f>
        <v>0</v>
      </c>
      <c r="I145" s="146">
        <f t="shared" si="180"/>
        <v>0</v>
      </c>
      <c r="J145" s="146">
        <f t="shared" si="180"/>
        <v>0</v>
      </c>
      <c r="K145" s="145">
        <f t="shared" si="0"/>
        <v>0</v>
      </c>
      <c r="L145" s="145">
        <f t="shared" ref="L145:L170" si="181">IF(G145&lt;&gt;0,G145,0)</f>
        <v>0</v>
      </c>
      <c r="M145" s="168"/>
      <c r="N145" s="168"/>
      <c r="O145" s="168"/>
      <c r="P145" s="168"/>
      <c r="Q145" s="168"/>
    </row>
    <row r="146" spans="1:17" ht="12.75" hidden="1" customHeight="1">
      <c r="A146" s="100"/>
      <c r="B146" s="993" t="s">
        <v>441</v>
      </c>
      <c r="C146" s="948"/>
      <c r="D146" s="102" t="s">
        <v>442</v>
      </c>
      <c r="E146" s="103">
        <f t="shared" si="178"/>
        <v>0</v>
      </c>
      <c r="F146" s="103">
        <f t="shared" si="178"/>
        <v>0</v>
      </c>
      <c r="G146" s="104">
        <f t="shared" si="179"/>
        <v>0</v>
      </c>
      <c r="H146" s="105">
        <f t="shared" si="180"/>
        <v>0</v>
      </c>
      <c r="I146" s="146">
        <f t="shared" si="180"/>
        <v>0</v>
      </c>
      <c r="J146" s="146">
        <f t="shared" si="180"/>
        <v>0</v>
      </c>
      <c r="K146" s="145">
        <f t="shared" si="0"/>
        <v>0</v>
      </c>
      <c r="L146" s="145">
        <f t="shared" si="181"/>
        <v>0</v>
      </c>
      <c r="M146" s="5"/>
      <c r="N146" s="5"/>
      <c r="O146" s="5"/>
      <c r="P146" s="5"/>
      <c r="Q146" s="5"/>
    </row>
    <row r="147" spans="1:17" ht="12.75" hidden="1" customHeight="1">
      <c r="A147" s="100"/>
      <c r="B147" s="993" t="s">
        <v>443</v>
      </c>
      <c r="C147" s="948"/>
      <c r="D147" s="102" t="s">
        <v>444</v>
      </c>
      <c r="E147" s="103">
        <f t="shared" ref="E147:F150" si="182">SUM(E479)</f>
        <v>0</v>
      </c>
      <c r="F147" s="103">
        <f t="shared" si="182"/>
        <v>0</v>
      </c>
      <c r="G147" s="104">
        <f t="shared" ref="G147:G150" si="183">SUM(G479)</f>
        <v>0</v>
      </c>
      <c r="H147" s="105">
        <f t="shared" ref="H147:J150" si="184">SUM(H479)</f>
        <v>0</v>
      </c>
      <c r="I147" s="146">
        <f t="shared" si="184"/>
        <v>0</v>
      </c>
      <c r="J147" s="146">
        <f t="shared" si="184"/>
        <v>0</v>
      </c>
      <c r="K147" s="145">
        <f t="shared" si="0"/>
        <v>0</v>
      </c>
      <c r="L147" s="145">
        <f t="shared" si="181"/>
        <v>0</v>
      </c>
      <c r="M147" s="5"/>
      <c r="N147" s="5"/>
      <c r="O147" s="5"/>
      <c r="P147" s="5"/>
      <c r="Q147" s="5"/>
    </row>
    <row r="148" spans="1:17" ht="12.75" hidden="1" customHeight="1">
      <c r="A148" s="100"/>
      <c r="B148" s="993" t="s">
        <v>445</v>
      </c>
      <c r="C148" s="948"/>
      <c r="D148" s="102" t="s">
        <v>446</v>
      </c>
      <c r="E148" s="103">
        <f t="shared" si="182"/>
        <v>0</v>
      </c>
      <c r="F148" s="103">
        <f t="shared" si="182"/>
        <v>0</v>
      </c>
      <c r="G148" s="104">
        <f t="shared" si="183"/>
        <v>0</v>
      </c>
      <c r="H148" s="105">
        <f t="shared" si="184"/>
        <v>0</v>
      </c>
      <c r="I148" s="146">
        <f t="shared" si="184"/>
        <v>0</v>
      </c>
      <c r="J148" s="146">
        <f t="shared" si="184"/>
        <v>0</v>
      </c>
      <c r="K148" s="145">
        <f t="shared" si="0"/>
        <v>0</v>
      </c>
      <c r="L148" s="145">
        <f t="shared" si="181"/>
        <v>0</v>
      </c>
      <c r="M148" s="5"/>
      <c r="N148" s="5"/>
      <c r="O148" s="5"/>
      <c r="P148" s="5"/>
      <c r="Q148" s="5"/>
    </row>
    <row r="149" spans="1:17" ht="27.75" hidden="1" customHeight="1">
      <c r="A149" s="100"/>
      <c r="B149" s="993" t="s">
        <v>447</v>
      </c>
      <c r="C149" s="948"/>
      <c r="D149" s="102" t="s">
        <v>448</v>
      </c>
      <c r="E149" s="103">
        <f t="shared" si="182"/>
        <v>0</v>
      </c>
      <c r="F149" s="103">
        <f t="shared" si="182"/>
        <v>0</v>
      </c>
      <c r="G149" s="104">
        <f t="shared" si="183"/>
        <v>0</v>
      </c>
      <c r="H149" s="105">
        <f t="shared" si="184"/>
        <v>0</v>
      </c>
      <c r="I149" s="146">
        <f t="shared" si="184"/>
        <v>0</v>
      </c>
      <c r="J149" s="146">
        <f t="shared" si="184"/>
        <v>0</v>
      </c>
      <c r="K149" s="145">
        <f t="shared" si="0"/>
        <v>0</v>
      </c>
      <c r="L149" s="145">
        <f t="shared" si="181"/>
        <v>0</v>
      </c>
      <c r="M149" s="5"/>
      <c r="N149" s="5"/>
      <c r="O149" s="5"/>
      <c r="P149" s="5"/>
      <c r="Q149" s="5"/>
    </row>
    <row r="150" spans="1:17" ht="12.75" hidden="1" customHeight="1">
      <c r="A150" s="100"/>
      <c r="B150" s="993" t="s">
        <v>449</v>
      </c>
      <c r="C150" s="948"/>
      <c r="D150" s="102" t="s">
        <v>450</v>
      </c>
      <c r="E150" s="103">
        <f t="shared" si="182"/>
        <v>0</v>
      </c>
      <c r="F150" s="103">
        <f t="shared" si="182"/>
        <v>0</v>
      </c>
      <c r="G150" s="104">
        <f t="shared" si="183"/>
        <v>0</v>
      </c>
      <c r="H150" s="105">
        <f t="shared" si="184"/>
        <v>0</v>
      </c>
      <c r="I150" s="146">
        <f t="shared" si="184"/>
        <v>0</v>
      </c>
      <c r="J150" s="146">
        <f t="shared" si="184"/>
        <v>0</v>
      </c>
      <c r="K150" s="145">
        <f t="shared" si="0"/>
        <v>0</v>
      </c>
      <c r="L150" s="145">
        <f t="shared" si="181"/>
        <v>0</v>
      </c>
      <c r="M150" s="5"/>
      <c r="N150" s="5"/>
      <c r="O150" s="5"/>
      <c r="P150" s="5"/>
      <c r="Q150" s="5"/>
    </row>
    <row r="151" spans="1:17" ht="26.25" hidden="1" customHeight="1">
      <c r="A151" s="100"/>
      <c r="B151" s="993" t="s">
        <v>451</v>
      </c>
      <c r="C151" s="948"/>
      <c r="D151" s="102" t="s">
        <v>452</v>
      </c>
      <c r="E151" s="103">
        <f t="shared" ref="E151:F151" si="185">SUM(E152:E154)</f>
        <v>0</v>
      </c>
      <c r="F151" s="103">
        <f t="shared" si="185"/>
        <v>0</v>
      </c>
      <c r="G151" s="104">
        <f t="shared" ref="G151:J151" si="186">SUM(G152:G154)</f>
        <v>0</v>
      </c>
      <c r="H151" s="105">
        <f t="shared" si="186"/>
        <v>0</v>
      </c>
      <c r="I151" s="146">
        <f t="shared" si="186"/>
        <v>0</v>
      </c>
      <c r="J151" s="146">
        <f t="shared" si="186"/>
        <v>0</v>
      </c>
      <c r="K151" s="145">
        <f t="shared" si="0"/>
        <v>0</v>
      </c>
      <c r="L151" s="145">
        <f t="shared" si="181"/>
        <v>0</v>
      </c>
      <c r="M151" s="5"/>
      <c r="N151" s="5"/>
      <c r="O151" s="5"/>
      <c r="P151" s="5"/>
      <c r="Q151" s="5"/>
    </row>
    <row r="152" spans="1:17" ht="27.75" hidden="1" customHeight="1">
      <c r="A152" s="100"/>
      <c r="B152" s="118"/>
      <c r="C152" s="101" t="s">
        <v>453</v>
      </c>
      <c r="D152" s="102" t="s">
        <v>454</v>
      </c>
      <c r="E152" s="103">
        <f t="shared" ref="E152:F152" si="187">SUM(E484)</f>
        <v>0</v>
      </c>
      <c r="F152" s="103">
        <f t="shared" si="187"/>
        <v>0</v>
      </c>
      <c r="G152" s="104">
        <f t="shared" ref="G152" si="188">SUM(G484)</f>
        <v>0</v>
      </c>
      <c r="H152" s="105">
        <f t="shared" ref="H152:J159" si="189">SUM(H484)</f>
        <v>0</v>
      </c>
      <c r="I152" s="146">
        <f t="shared" si="189"/>
        <v>0</v>
      </c>
      <c r="J152" s="146">
        <f t="shared" si="189"/>
        <v>0</v>
      </c>
      <c r="K152" s="145">
        <f t="shared" si="0"/>
        <v>0</v>
      </c>
      <c r="L152" s="145">
        <f t="shared" si="181"/>
        <v>0</v>
      </c>
      <c r="M152" s="156"/>
      <c r="N152" s="156"/>
      <c r="O152" s="156"/>
      <c r="P152" s="156"/>
      <c r="Q152" s="156"/>
    </row>
    <row r="153" spans="1:17" ht="25.5" hidden="1" customHeight="1">
      <c r="A153" s="100"/>
      <c r="B153" s="118"/>
      <c r="C153" s="116" t="s">
        <v>455</v>
      </c>
      <c r="D153" s="117" t="s">
        <v>456</v>
      </c>
      <c r="E153" s="103">
        <f t="shared" ref="E153:F158" si="190">SUM(E485)</f>
        <v>0</v>
      </c>
      <c r="F153" s="103">
        <f t="shared" si="190"/>
        <v>0</v>
      </c>
      <c r="G153" s="104">
        <f t="shared" ref="G153:G159" si="191">SUM(G485)</f>
        <v>0</v>
      </c>
      <c r="H153" s="105">
        <f t="shared" si="189"/>
        <v>0</v>
      </c>
      <c r="I153" s="146">
        <f t="shared" si="189"/>
        <v>0</v>
      </c>
      <c r="J153" s="146">
        <f t="shared" si="189"/>
        <v>0</v>
      </c>
      <c r="K153" s="145">
        <f t="shared" si="0"/>
        <v>0</v>
      </c>
      <c r="L153" s="145">
        <f t="shared" si="181"/>
        <v>0</v>
      </c>
      <c r="M153" s="156"/>
      <c r="N153" s="156"/>
      <c r="O153" s="156"/>
      <c r="P153" s="156"/>
      <c r="Q153" s="156"/>
    </row>
    <row r="154" spans="1:17" ht="25.5" hidden="1" customHeight="1">
      <c r="A154" s="100"/>
      <c r="B154" s="118"/>
      <c r="C154" s="116" t="s">
        <v>457</v>
      </c>
      <c r="D154" s="117" t="s">
        <v>458</v>
      </c>
      <c r="E154" s="103">
        <f t="shared" si="190"/>
        <v>0</v>
      </c>
      <c r="F154" s="103">
        <f t="shared" si="190"/>
        <v>0</v>
      </c>
      <c r="G154" s="104">
        <f t="shared" si="191"/>
        <v>0</v>
      </c>
      <c r="H154" s="105">
        <f t="shared" si="189"/>
        <v>0</v>
      </c>
      <c r="I154" s="146">
        <f t="shared" si="189"/>
        <v>0</v>
      </c>
      <c r="J154" s="146">
        <f t="shared" si="189"/>
        <v>0</v>
      </c>
      <c r="K154" s="145">
        <f t="shared" si="0"/>
        <v>0</v>
      </c>
      <c r="L154" s="145">
        <f t="shared" si="181"/>
        <v>0</v>
      </c>
      <c r="M154" s="156"/>
      <c r="N154" s="156"/>
      <c r="O154" s="156"/>
      <c r="P154" s="156"/>
      <c r="Q154" s="156"/>
    </row>
    <row r="155" spans="1:17" ht="30" hidden="1" customHeight="1">
      <c r="A155" s="100"/>
      <c r="B155" s="993" t="s">
        <v>459</v>
      </c>
      <c r="C155" s="948"/>
      <c r="D155" s="102" t="s">
        <v>460</v>
      </c>
      <c r="E155" s="103">
        <f t="shared" si="190"/>
        <v>0</v>
      </c>
      <c r="F155" s="103">
        <f t="shared" si="190"/>
        <v>0</v>
      </c>
      <c r="G155" s="104">
        <f t="shared" si="191"/>
        <v>0</v>
      </c>
      <c r="H155" s="105">
        <f t="shared" si="189"/>
        <v>0</v>
      </c>
      <c r="I155" s="146">
        <f t="shared" si="189"/>
        <v>0</v>
      </c>
      <c r="J155" s="146">
        <f t="shared" si="189"/>
        <v>0</v>
      </c>
      <c r="K155" s="145">
        <f t="shared" si="0"/>
        <v>0</v>
      </c>
      <c r="L155" s="145">
        <f t="shared" si="181"/>
        <v>0</v>
      </c>
      <c r="M155" s="11"/>
      <c r="N155" s="11"/>
      <c r="O155" s="11"/>
      <c r="P155" s="11"/>
      <c r="Q155" s="11"/>
    </row>
    <row r="156" spans="1:17" ht="12.75" hidden="1" customHeight="1">
      <c r="A156" s="100"/>
      <c r="B156" s="993" t="s">
        <v>461</v>
      </c>
      <c r="C156" s="948"/>
      <c r="D156" s="102" t="s">
        <v>462</v>
      </c>
      <c r="E156" s="103">
        <f t="shared" si="190"/>
        <v>0</v>
      </c>
      <c r="F156" s="103">
        <f t="shared" si="190"/>
        <v>0</v>
      </c>
      <c r="G156" s="104">
        <f t="shared" si="191"/>
        <v>0</v>
      </c>
      <c r="H156" s="105">
        <f t="shared" si="189"/>
        <v>0</v>
      </c>
      <c r="I156" s="146">
        <f t="shared" si="189"/>
        <v>0</v>
      </c>
      <c r="J156" s="146">
        <f t="shared" si="189"/>
        <v>0</v>
      </c>
      <c r="K156" s="145">
        <f t="shared" si="0"/>
        <v>0</v>
      </c>
      <c r="L156" s="145">
        <f t="shared" si="181"/>
        <v>0</v>
      </c>
      <c r="M156" s="5"/>
      <c r="N156" s="5"/>
      <c r="O156" s="5"/>
      <c r="P156" s="5"/>
      <c r="Q156" s="5"/>
    </row>
    <row r="157" spans="1:17" ht="30" customHeight="1">
      <c r="A157" s="106"/>
      <c r="B157" s="994" t="s">
        <v>463</v>
      </c>
      <c r="C157" s="948"/>
      <c r="D157" s="108" t="s">
        <v>464</v>
      </c>
      <c r="E157" s="109">
        <f t="shared" si="190"/>
        <v>23183</v>
      </c>
      <c r="F157" s="109">
        <f t="shared" si="190"/>
        <v>0</v>
      </c>
      <c r="G157" s="110">
        <f t="shared" si="191"/>
        <v>23183</v>
      </c>
      <c r="H157" s="105">
        <f t="shared" si="189"/>
        <v>0</v>
      </c>
      <c r="I157" s="146">
        <f t="shared" si="189"/>
        <v>0</v>
      </c>
      <c r="J157" s="146">
        <f t="shared" si="189"/>
        <v>0</v>
      </c>
      <c r="K157" s="137">
        <v>0</v>
      </c>
      <c r="L157" s="137">
        <f t="shared" si="181"/>
        <v>23183</v>
      </c>
      <c r="M157" s="132"/>
      <c r="N157" s="170">
        <v>7140</v>
      </c>
      <c r="O157" s="132"/>
      <c r="P157" s="132"/>
      <c r="Q157" s="139">
        <f>E157-G157</f>
        <v>0</v>
      </c>
    </row>
    <row r="158" spans="1:17" ht="12.75" hidden="1" customHeight="1">
      <c r="A158" s="100"/>
      <c r="B158" s="993" t="s">
        <v>465</v>
      </c>
      <c r="C158" s="948"/>
      <c r="D158" s="102" t="s">
        <v>466</v>
      </c>
      <c r="E158" s="103">
        <f t="shared" si="190"/>
        <v>0</v>
      </c>
      <c r="F158" s="103">
        <f t="shared" si="190"/>
        <v>0</v>
      </c>
      <c r="G158" s="104">
        <f t="shared" si="191"/>
        <v>0</v>
      </c>
      <c r="H158" s="105">
        <f t="shared" si="189"/>
        <v>0</v>
      </c>
      <c r="I158" s="146">
        <f t="shared" si="189"/>
        <v>0</v>
      </c>
      <c r="J158" s="146">
        <f t="shared" si="189"/>
        <v>0</v>
      </c>
      <c r="K158" s="145">
        <f t="shared" ref="K158:K170" si="192">SUM(E158:G158)</f>
        <v>0</v>
      </c>
      <c r="L158" s="145">
        <f t="shared" si="181"/>
        <v>0</v>
      </c>
      <c r="M158" s="5"/>
      <c r="N158" s="5"/>
      <c r="O158" s="5"/>
      <c r="P158" s="5"/>
      <c r="Q158" s="5"/>
    </row>
    <row r="159" spans="1:17" ht="12.75" hidden="1" customHeight="1">
      <c r="A159" s="100"/>
      <c r="B159" s="993" t="s">
        <v>467</v>
      </c>
      <c r="C159" s="948"/>
      <c r="D159" s="102" t="s">
        <v>468</v>
      </c>
      <c r="E159" s="103">
        <f>SUM(E491)</f>
        <v>0</v>
      </c>
      <c r="F159" s="103">
        <f>SUM(F491)</f>
        <v>0</v>
      </c>
      <c r="G159" s="104">
        <f t="shared" si="191"/>
        <v>0</v>
      </c>
      <c r="H159" s="105">
        <f t="shared" si="189"/>
        <v>0</v>
      </c>
      <c r="I159" s="146">
        <f t="shared" si="189"/>
        <v>0</v>
      </c>
      <c r="J159" s="146">
        <f t="shared" si="189"/>
        <v>0</v>
      </c>
      <c r="K159" s="145">
        <f t="shared" si="192"/>
        <v>0</v>
      </c>
      <c r="L159" s="145">
        <f t="shared" si="181"/>
        <v>0</v>
      </c>
      <c r="M159" s="5"/>
      <c r="N159" s="5"/>
      <c r="O159" s="5"/>
      <c r="P159" s="5"/>
      <c r="Q159" s="5"/>
    </row>
    <row r="160" spans="1:17" ht="28.5" hidden="1" customHeight="1">
      <c r="A160" s="106"/>
      <c r="B160" s="994" t="s">
        <v>469</v>
      </c>
      <c r="C160" s="948"/>
      <c r="D160" s="163" t="s">
        <v>470</v>
      </c>
      <c r="E160" s="109">
        <f t="shared" ref="E160:F160" si="193">SUM(E161:E163)</f>
        <v>0</v>
      </c>
      <c r="F160" s="109">
        <f t="shared" si="193"/>
        <v>0</v>
      </c>
      <c r="G160" s="110">
        <f t="shared" ref="G160:J160" si="194">SUM(G161:G163)</f>
        <v>0</v>
      </c>
      <c r="H160" s="105">
        <f t="shared" si="194"/>
        <v>0</v>
      </c>
      <c r="I160" s="146">
        <f t="shared" si="194"/>
        <v>0</v>
      </c>
      <c r="J160" s="146">
        <f t="shared" si="194"/>
        <v>0</v>
      </c>
      <c r="K160" s="137">
        <f t="shared" si="192"/>
        <v>0</v>
      </c>
      <c r="L160" s="137">
        <f t="shared" si="181"/>
        <v>0</v>
      </c>
      <c r="M160" s="132"/>
      <c r="N160" s="170">
        <v>1565346.6</v>
      </c>
      <c r="O160" s="132"/>
      <c r="P160" s="132"/>
      <c r="Q160" s="132"/>
    </row>
    <row r="161" spans="1:17" ht="38.25" hidden="1" customHeight="1">
      <c r="A161" s="106"/>
      <c r="B161" s="120"/>
      <c r="C161" s="159" t="s">
        <v>471</v>
      </c>
      <c r="D161" s="161" t="s">
        <v>472</v>
      </c>
      <c r="E161" s="109">
        <f t="shared" ref="E161:F161" si="195">SUM(E493)</f>
        <v>0</v>
      </c>
      <c r="F161" s="109">
        <f t="shared" si="195"/>
        <v>0</v>
      </c>
      <c r="G161" s="110">
        <f t="shared" ref="G161" si="196">SUM(G493)</f>
        <v>0</v>
      </c>
      <c r="H161" s="105">
        <f t="shared" ref="H161:J164" si="197">SUM(H493)</f>
        <v>0</v>
      </c>
      <c r="I161" s="146">
        <f t="shared" si="197"/>
        <v>0</v>
      </c>
      <c r="J161" s="146">
        <f t="shared" si="197"/>
        <v>0</v>
      </c>
      <c r="K161" s="137">
        <f t="shared" si="192"/>
        <v>0</v>
      </c>
      <c r="L161" s="137">
        <f t="shared" si="181"/>
        <v>0</v>
      </c>
      <c r="M161" s="132"/>
      <c r="N161" s="132"/>
      <c r="O161" s="132"/>
      <c r="P161" s="132"/>
      <c r="Q161" s="132"/>
    </row>
    <row r="162" spans="1:17" ht="25.5" hidden="1" customHeight="1">
      <c r="A162" s="106"/>
      <c r="B162" s="120"/>
      <c r="C162" s="159" t="s">
        <v>473</v>
      </c>
      <c r="D162" s="161" t="s">
        <v>474</v>
      </c>
      <c r="E162" s="109">
        <f t="shared" ref="E162:F164" si="198">SUM(E494)</f>
        <v>0</v>
      </c>
      <c r="F162" s="109">
        <f t="shared" si="198"/>
        <v>0</v>
      </c>
      <c r="G162" s="110">
        <f t="shared" ref="G162:G164" si="199">SUM(G494)</f>
        <v>0</v>
      </c>
      <c r="H162" s="105">
        <f t="shared" si="197"/>
        <v>0</v>
      </c>
      <c r="I162" s="146">
        <f t="shared" si="197"/>
        <v>0</v>
      </c>
      <c r="J162" s="146">
        <f t="shared" si="197"/>
        <v>0</v>
      </c>
      <c r="K162" s="137">
        <f t="shared" si="192"/>
        <v>0</v>
      </c>
      <c r="L162" s="137">
        <f t="shared" si="181"/>
        <v>0</v>
      </c>
      <c r="M162" s="169"/>
      <c r="N162" s="169"/>
      <c r="O162" s="169"/>
      <c r="P162" s="169"/>
      <c r="Q162" s="169"/>
    </row>
    <row r="163" spans="1:17" ht="25.5" hidden="1" customHeight="1">
      <c r="A163" s="100"/>
      <c r="B163" s="121"/>
      <c r="C163" s="116" t="s">
        <v>475</v>
      </c>
      <c r="D163" s="117" t="s">
        <v>476</v>
      </c>
      <c r="E163" s="103">
        <f t="shared" si="198"/>
        <v>0</v>
      </c>
      <c r="F163" s="103">
        <f t="shared" si="198"/>
        <v>0</v>
      </c>
      <c r="G163" s="104">
        <f t="shared" si="199"/>
        <v>0</v>
      </c>
      <c r="H163" s="105">
        <f t="shared" si="197"/>
        <v>0</v>
      </c>
      <c r="I163" s="146">
        <f t="shared" si="197"/>
        <v>0</v>
      </c>
      <c r="J163" s="146">
        <f t="shared" si="197"/>
        <v>0</v>
      </c>
      <c r="K163" s="145">
        <f t="shared" si="192"/>
        <v>0</v>
      </c>
      <c r="L163" s="145">
        <f t="shared" si="181"/>
        <v>0</v>
      </c>
      <c r="M163" s="5"/>
      <c r="N163" s="5"/>
      <c r="O163" s="5"/>
      <c r="P163" s="5"/>
      <c r="Q163" s="5"/>
    </row>
    <row r="164" spans="1:17" ht="25.5" hidden="1" customHeight="1">
      <c r="A164" s="100"/>
      <c r="B164" s="993" t="s">
        <v>477</v>
      </c>
      <c r="C164" s="948"/>
      <c r="D164" s="102" t="s">
        <v>478</v>
      </c>
      <c r="E164" s="103">
        <f t="shared" si="198"/>
        <v>0</v>
      </c>
      <c r="F164" s="103">
        <f t="shared" si="198"/>
        <v>0</v>
      </c>
      <c r="G164" s="104">
        <f t="shared" si="199"/>
        <v>0</v>
      </c>
      <c r="H164" s="105">
        <f t="shared" si="197"/>
        <v>0</v>
      </c>
      <c r="I164" s="146">
        <f t="shared" si="197"/>
        <v>0</v>
      </c>
      <c r="J164" s="146">
        <f t="shared" si="197"/>
        <v>0</v>
      </c>
      <c r="K164" s="145">
        <f t="shared" si="192"/>
        <v>0</v>
      </c>
      <c r="L164" s="145">
        <f t="shared" si="181"/>
        <v>0</v>
      </c>
      <c r="M164" s="5"/>
      <c r="N164" s="5"/>
      <c r="O164" s="5"/>
      <c r="P164" s="5"/>
      <c r="Q164" s="5"/>
    </row>
    <row r="165" spans="1:17" ht="24.75" hidden="1" customHeight="1">
      <c r="A165" s="100"/>
      <c r="B165" s="993" t="s">
        <v>479</v>
      </c>
      <c r="C165" s="948"/>
      <c r="D165" s="102" t="s">
        <v>480</v>
      </c>
      <c r="E165" s="103">
        <f t="shared" ref="E165:F165" si="200">SUM(E166:E168)</f>
        <v>0</v>
      </c>
      <c r="F165" s="103">
        <f t="shared" si="200"/>
        <v>0</v>
      </c>
      <c r="G165" s="104">
        <f t="shared" ref="G165:J165" si="201">SUM(G166:G168)</f>
        <v>0</v>
      </c>
      <c r="H165" s="105">
        <f t="shared" si="201"/>
        <v>0</v>
      </c>
      <c r="I165" s="146">
        <f t="shared" si="201"/>
        <v>0</v>
      </c>
      <c r="J165" s="146">
        <f t="shared" si="201"/>
        <v>0</v>
      </c>
      <c r="K165" s="145">
        <f t="shared" si="192"/>
        <v>0</v>
      </c>
      <c r="L165" s="145">
        <f t="shared" si="181"/>
        <v>0</v>
      </c>
      <c r="M165" s="5"/>
      <c r="N165" s="5"/>
      <c r="O165" s="5"/>
      <c r="P165" s="5"/>
      <c r="Q165" s="5"/>
    </row>
    <row r="166" spans="1:17" ht="38.25" hidden="1" customHeight="1">
      <c r="A166" s="100"/>
      <c r="B166" s="121"/>
      <c r="C166" s="116" t="s">
        <v>481</v>
      </c>
      <c r="D166" s="117" t="s">
        <v>482</v>
      </c>
      <c r="E166" s="103">
        <f t="shared" ref="E166:F166" si="202">SUM(E498)</f>
        <v>0</v>
      </c>
      <c r="F166" s="103">
        <f t="shared" si="202"/>
        <v>0</v>
      </c>
      <c r="G166" s="104">
        <f t="shared" ref="G166" si="203">SUM(G498)</f>
        <v>0</v>
      </c>
      <c r="H166" s="105">
        <f t="shared" ref="H166:J169" si="204">SUM(H498)</f>
        <v>0</v>
      </c>
      <c r="I166" s="146">
        <f t="shared" si="204"/>
        <v>0</v>
      </c>
      <c r="J166" s="146">
        <f t="shared" si="204"/>
        <v>0</v>
      </c>
      <c r="K166" s="145">
        <f t="shared" si="192"/>
        <v>0</v>
      </c>
      <c r="L166" s="145">
        <f t="shared" si="181"/>
        <v>0</v>
      </c>
      <c r="M166" s="5"/>
      <c r="N166" s="5"/>
      <c r="O166" s="5"/>
      <c r="P166" s="5"/>
      <c r="Q166" s="5"/>
    </row>
    <row r="167" spans="1:17" ht="38.25" hidden="1" customHeight="1">
      <c r="A167" s="100"/>
      <c r="B167" s="121"/>
      <c r="C167" s="116" t="s">
        <v>483</v>
      </c>
      <c r="D167" s="117" t="s">
        <v>484</v>
      </c>
      <c r="E167" s="103">
        <f t="shared" ref="E167:F169" si="205">SUM(E499)</f>
        <v>0</v>
      </c>
      <c r="F167" s="103">
        <f t="shared" si="205"/>
        <v>0</v>
      </c>
      <c r="G167" s="104">
        <f t="shared" ref="G167:G169" si="206">SUM(G499)</f>
        <v>0</v>
      </c>
      <c r="H167" s="105">
        <f t="shared" si="204"/>
        <v>0</v>
      </c>
      <c r="I167" s="146">
        <f t="shared" si="204"/>
        <v>0</v>
      </c>
      <c r="J167" s="146">
        <f t="shared" si="204"/>
        <v>0</v>
      </c>
      <c r="K167" s="145">
        <f t="shared" si="192"/>
        <v>0</v>
      </c>
      <c r="L167" s="145">
        <f t="shared" si="181"/>
        <v>0</v>
      </c>
      <c r="M167" s="5"/>
      <c r="N167" s="5"/>
      <c r="O167" s="5"/>
      <c r="P167" s="5"/>
      <c r="Q167" s="5"/>
    </row>
    <row r="168" spans="1:17" ht="25.5" hidden="1" customHeight="1">
      <c r="A168" s="100"/>
      <c r="B168" s="121"/>
      <c r="C168" s="116" t="s">
        <v>485</v>
      </c>
      <c r="D168" s="117" t="s">
        <v>486</v>
      </c>
      <c r="E168" s="103">
        <f t="shared" si="205"/>
        <v>0</v>
      </c>
      <c r="F168" s="103">
        <f t="shared" si="205"/>
        <v>0</v>
      </c>
      <c r="G168" s="104">
        <f t="shared" si="206"/>
        <v>0</v>
      </c>
      <c r="H168" s="105">
        <f t="shared" si="204"/>
        <v>0</v>
      </c>
      <c r="I168" s="146">
        <f t="shared" si="204"/>
        <v>0</v>
      </c>
      <c r="J168" s="146">
        <f t="shared" si="204"/>
        <v>0</v>
      </c>
      <c r="K168" s="145">
        <f t="shared" si="192"/>
        <v>0</v>
      </c>
      <c r="L168" s="145">
        <f t="shared" si="181"/>
        <v>0</v>
      </c>
      <c r="M168" s="5"/>
      <c r="N168" s="5"/>
      <c r="O168" s="5"/>
      <c r="P168" s="5"/>
      <c r="Q168" s="5"/>
    </row>
    <row r="169" spans="1:17" ht="39" hidden="1" customHeight="1">
      <c r="A169" s="100"/>
      <c r="B169" s="993" t="s">
        <v>487</v>
      </c>
      <c r="C169" s="948"/>
      <c r="D169" s="102" t="s">
        <v>488</v>
      </c>
      <c r="E169" s="103">
        <f t="shared" si="205"/>
        <v>0</v>
      </c>
      <c r="F169" s="103">
        <f t="shared" si="205"/>
        <v>0</v>
      </c>
      <c r="G169" s="104">
        <f t="shared" si="206"/>
        <v>0</v>
      </c>
      <c r="H169" s="105">
        <f t="shared" si="204"/>
        <v>0</v>
      </c>
      <c r="I169" s="146">
        <f t="shared" si="204"/>
        <v>0</v>
      </c>
      <c r="J169" s="146">
        <f t="shared" si="204"/>
        <v>0</v>
      </c>
      <c r="K169" s="145">
        <f t="shared" si="192"/>
        <v>0</v>
      </c>
      <c r="L169" s="145">
        <f t="shared" si="181"/>
        <v>0</v>
      </c>
      <c r="M169" s="5"/>
      <c r="N169" s="5"/>
      <c r="O169" s="5"/>
      <c r="P169" s="5"/>
      <c r="Q169" s="5"/>
    </row>
    <row r="170" spans="1:17" ht="26.25" hidden="1" customHeight="1">
      <c r="A170" s="100"/>
      <c r="B170" s="993" t="s">
        <v>489</v>
      </c>
      <c r="C170" s="948"/>
      <c r="D170" s="102" t="s">
        <v>490</v>
      </c>
      <c r="E170" s="103">
        <f t="shared" ref="E170:F170" si="207">SUM(E504)</f>
        <v>0</v>
      </c>
      <c r="F170" s="103">
        <f t="shared" si="207"/>
        <v>0</v>
      </c>
      <c r="G170" s="104">
        <f t="shared" ref="G170:J170" si="208">SUM(G504)</f>
        <v>0</v>
      </c>
      <c r="H170" s="105">
        <f t="shared" si="208"/>
        <v>0</v>
      </c>
      <c r="I170" s="146">
        <f t="shared" si="208"/>
        <v>0</v>
      </c>
      <c r="J170" s="146">
        <f t="shared" si="208"/>
        <v>0</v>
      </c>
      <c r="K170" s="145">
        <f t="shared" si="192"/>
        <v>0</v>
      </c>
      <c r="L170" s="145">
        <f t="shared" si="181"/>
        <v>0</v>
      </c>
      <c r="M170" s="5"/>
      <c r="N170" s="5"/>
      <c r="O170" s="5"/>
      <c r="P170" s="5"/>
      <c r="Q170" s="5"/>
    </row>
    <row r="171" spans="1:17" ht="12.75" hidden="1" customHeight="1">
      <c r="A171" s="989" t="s">
        <v>491</v>
      </c>
      <c r="B171" s="948"/>
      <c r="C171" s="948"/>
      <c r="D171" s="97" t="s">
        <v>492</v>
      </c>
      <c r="E171" s="98">
        <f t="shared" ref="E171:F171" si="209">SUM(E172:E187,E196:E200,E190:E193,E204)</f>
        <v>84500.97</v>
      </c>
      <c r="F171" s="98">
        <f t="shared" si="209"/>
        <v>0</v>
      </c>
      <c r="G171" s="99">
        <f t="shared" ref="G171" si="210">SUM(G172:G187,G196:G200,G190:G193,G204)</f>
        <v>84500.97</v>
      </c>
      <c r="H171" s="96" t="e">
        <f>SUM(H172:H193,H196)</f>
        <v>#REF!</v>
      </c>
      <c r="I171" s="141" t="e">
        <f>SUM(I172:I193,I196)</f>
        <v>#REF!</v>
      </c>
      <c r="J171" s="141" t="e">
        <f>SUM(J172:J193,J196)</f>
        <v>#REF!</v>
      </c>
      <c r="K171" s="145">
        <v>0</v>
      </c>
      <c r="L171" s="145">
        <v>0</v>
      </c>
      <c r="M171" s="5"/>
      <c r="N171" s="5"/>
      <c r="O171" s="5"/>
      <c r="P171" s="5"/>
      <c r="Q171" s="5"/>
    </row>
    <row r="172" spans="1:17" ht="25.5" customHeight="1">
      <c r="A172" s="106"/>
      <c r="B172" s="994" t="s">
        <v>493</v>
      </c>
      <c r="C172" s="948"/>
      <c r="D172" s="108" t="s">
        <v>494</v>
      </c>
      <c r="E172" s="109">
        <f t="shared" ref="E172:F173" si="211">SUM(E422)</f>
        <v>8377</v>
      </c>
      <c r="F172" s="109">
        <f t="shared" si="211"/>
        <v>0</v>
      </c>
      <c r="G172" s="110">
        <f t="shared" ref="G172:G173" si="212">SUM(G422)</f>
        <v>8377</v>
      </c>
      <c r="H172" s="105">
        <f t="shared" ref="H172:J173" si="213">SUM(H422)</f>
        <v>0</v>
      </c>
      <c r="I172" s="146">
        <f t="shared" si="213"/>
        <v>0</v>
      </c>
      <c r="J172" s="146">
        <f t="shared" si="213"/>
        <v>0</v>
      </c>
      <c r="K172" s="137">
        <f t="shared" ref="K172:K264" si="214">SUM(E172:G172)</f>
        <v>16754</v>
      </c>
      <c r="L172" s="137">
        <f t="shared" ref="L172:L264" si="215">IF(G172&lt;&gt;0,G172,0)</f>
        <v>8377</v>
      </c>
      <c r="M172" s="132"/>
      <c r="N172" s="132">
        <v>78299704</v>
      </c>
      <c r="O172" s="132"/>
      <c r="P172" s="132"/>
      <c r="Q172" s="139">
        <f>E172-G172</f>
        <v>0</v>
      </c>
    </row>
    <row r="173" spans="1:17" ht="12.75" hidden="1" customHeight="1">
      <c r="A173" s="100"/>
      <c r="B173" s="993" t="s">
        <v>495</v>
      </c>
      <c r="C173" s="948"/>
      <c r="D173" s="102" t="s">
        <v>496</v>
      </c>
      <c r="E173" s="103">
        <f t="shared" si="211"/>
        <v>0</v>
      </c>
      <c r="F173" s="103">
        <f t="shared" si="211"/>
        <v>0</v>
      </c>
      <c r="G173" s="104">
        <f t="shared" si="212"/>
        <v>0</v>
      </c>
      <c r="H173" s="105">
        <f t="shared" si="213"/>
        <v>0</v>
      </c>
      <c r="I173" s="146">
        <f t="shared" si="213"/>
        <v>0</v>
      </c>
      <c r="J173" s="146">
        <f t="shared" si="213"/>
        <v>0</v>
      </c>
      <c r="K173" s="145">
        <f t="shared" si="214"/>
        <v>0</v>
      </c>
      <c r="L173" s="145">
        <f t="shared" si="215"/>
        <v>0</v>
      </c>
      <c r="M173" s="5"/>
      <c r="N173" s="5"/>
      <c r="O173" s="5"/>
      <c r="P173" s="5"/>
      <c r="Q173" s="5"/>
    </row>
    <row r="174" spans="1:17" ht="12.75" hidden="1" customHeight="1">
      <c r="A174" s="100"/>
      <c r="B174" s="993" t="s">
        <v>497</v>
      </c>
      <c r="C174" s="948"/>
      <c r="D174" s="102" t="s">
        <v>498</v>
      </c>
      <c r="E174" s="103">
        <f t="shared" ref="E174:F185" si="216">SUM(E424)</f>
        <v>0</v>
      </c>
      <c r="F174" s="103">
        <f t="shared" si="216"/>
        <v>0</v>
      </c>
      <c r="G174" s="104">
        <f t="shared" ref="G174:J185" si="217">SUM(G424)</f>
        <v>0</v>
      </c>
      <c r="H174" s="105">
        <f t="shared" si="217"/>
        <v>0</v>
      </c>
      <c r="I174" s="146">
        <f t="shared" si="217"/>
        <v>0</v>
      </c>
      <c r="J174" s="146">
        <f t="shared" si="217"/>
        <v>0</v>
      </c>
      <c r="K174" s="145">
        <f t="shared" si="214"/>
        <v>0</v>
      </c>
      <c r="L174" s="145">
        <f t="shared" si="215"/>
        <v>0</v>
      </c>
      <c r="M174" s="168"/>
      <c r="N174" s="168"/>
      <c r="O174" s="168"/>
      <c r="P174" s="168"/>
      <c r="Q174" s="168"/>
    </row>
    <row r="175" spans="1:17" ht="30" hidden="1" customHeight="1">
      <c r="A175" s="100"/>
      <c r="B175" s="993" t="s">
        <v>499</v>
      </c>
      <c r="C175" s="948"/>
      <c r="D175" s="102" t="s">
        <v>500</v>
      </c>
      <c r="E175" s="103">
        <f t="shared" si="216"/>
        <v>0</v>
      </c>
      <c r="F175" s="103">
        <f t="shared" si="216"/>
        <v>0</v>
      </c>
      <c r="G175" s="104">
        <f t="shared" si="217"/>
        <v>0</v>
      </c>
      <c r="H175" s="105">
        <f t="shared" si="217"/>
        <v>0</v>
      </c>
      <c r="I175" s="146">
        <f t="shared" si="217"/>
        <v>0</v>
      </c>
      <c r="J175" s="146">
        <f t="shared" si="217"/>
        <v>0</v>
      </c>
      <c r="K175" s="145">
        <f t="shared" si="214"/>
        <v>0</v>
      </c>
      <c r="L175" s="145">
        <f t="shared" si="215"/>
        <v>0</v>
      </c>
      <c r="M175" s="168"/>
      <c r="N175" s="168"/>
      <c r="O175" s="168"/>
      <c r="P175" s="168"/>
      <c r="Q175" s="168"/>
    </row>
    <row r="176" spans="1:17" ht="12.75" hidden="1" customHeight="1">
      <c r="A176" s="100"/>
      <c r="B176" s="993" t="s">
        <v>501</v>
      </c>
      <c r="C176" s="948"/>
      <c r="D176" s="102" t="s">
        <v>502</v>
      </c>
      <c r="E176" s="103">
        <f t="shared" si="216"/>
        <v>0</v>
      </c>
      <c r="F176" s="103">
        <f t="shared" si="216"/>
        <v>0</v>
      </c>
      <c r="G176" s="104">
        <f t="shared" si="217"/>
        <v>0</v>
      </c>
      <c r="H176" s="105">
        <f t="shared" si="217"/>
        <v>0</v>
      </c>
      <c r="I176" s="146">
        <f t="shared" si="217"/>
        <v>0</v>
      </c>
      <c r="J176" s="146">
        <f t="shared" si="217"/>
        <v>0</v>
      </c>
      <c r="K176" s="145">
        <f t="shared" si="214"/>
        <v>0</v>
      </c>
      <c r="L176" s="145">
        <f t="shared" si="215"/>
        <v>0</v>
      </c>
      <c r="M176" s="156"/>
      <c r="N176" s="156"/>
      <c r="O176" s="156"/>
      <c r="P176" s="156"/>
      <c r="Q176" s="156"/>
    </row>
    <row r="177" spans="1:17" ht="26.25" hidden="1" customHeight="1">
      <c r="A177" s="100"/>
      <c r="B177" s="993" t="s">
        <v>503</v>
      </c>
      <c r="C177" s="948"/>
      <c r="D177" s="102" t="s">
        <v>504</v>
      </c>
      <c r="E177" s="103">
        <f t="shared" si="216"/>
        <v>0</v>
      </c>
      <c r="F177" s="103">
        <f t="shared" si="216"/>
        <v>0</v>
      </c>
      <c r="G177" s="104">
        <f t="shared" si="217"/>
        <v>0</v>
      </c>
      <c r="H177" s="105">
        <f t="shared" si="217"/>
        <v>0</v>
      </c>
      <c r="I177" s="146">
        <f t="shared" si="217"/>
        <v>0</v>
      </c>
      <c r="J177" s="146">
        <f t="shared" si="217"/>
        <v>0</v>
      </c>
      <c r="K177" s="145">
        <f t="shared" si="214"/>
        <v>0</v>
      </c>
      <c r="L177" s="145">
        <f t="shared" si="215"/>
        <v>0</v>
      </c>
      <c r="M177" s="168"/>
      <c r="N177" s="168"/>
      <c r="O177" s="168"/>
      <c r="P177" s="168"/>
      <c r="Q177" s="168"/>
    </row>
    <row r="178" spans="1:17" ht="24" hidden="1" customHeight="1">
      <c r="A178" s="100"/>
      <c r="B178" s="993" t="s">
        <v>505</v>
      </c>
      <c r="C178" s="948"/>
      <c r="D178" s="102" t="s">
        <v>506</v>
      </c>
      <c r="E178" s="103">
        <f t="shared" si="216"/>
        <v>0</v>
      </c>
      <c r="F178" s="103">
        <f t="shared" si="216"/>
        <v>0</v>
      </c>
      <c r="G178" s="104">
        <f t="shared" si="217"/>
        <v>0</v>
      </c>
      <c r="H178" s="105">
        <f t="shared" si="217"/>
        <v>0</v>
      </c>
      <c r="I178" s="146">
        <f t="shared" si="217"/>
        <v>0</v>
      </c>
      <c r="J178" s="146">
        <f t="shared" si="217"/>
        <v>0</v>
      </c>
      <c r="K178" s="145">
        <f t="shared" si="214"/>
        <v>0</v>
      </c>
      <c r="L178" s="145">
        <f t="shared" si="215"/>
        <v>0</v>
      </c>
      <c r="M178" s="5"/>
      <c r="N178" s="5"/>
      <c r="O178" s="5"/>
      <c r="P178" s="5"/>
      <c r="Q178" s="5"/>
    </row>
    <row r="179" spans="1:17" ht="12.75" hidden="1" customHeight="1">
      <c r="A179" s="100"/>
      <c r="B179" s="993" t="s">
        <v>507</v>
      </c>
      <c r="C179" s="948"/>
      <c r="D179" s="102" t="s">
        <v>508</v>
      </c>
      <c r="E179" s="103">
        <f t="shared" si="216"/>
        <v>0</v>
      </c>
      <c r="F179" s="103">
        <f t="shared" si="216"/>
        <v>0</v>
      </c>
      <c r="G179" s="104">
        <f t="shared" si="217"/>
        <v>0</v>
      </c>
      <c r="H179" s="105">
        <f t="shared" si="217"/>
        <v>0</v>
      </c>
      <c r="I179" s="146">
        <f t="shared" si="217"/>
        <v>0</v>
      </c>
      <c r="J179" s="146">
        <f t="shared" si="217"/>
        <v>0</v>
      </c>
      <c r="K179" s="145">
        <f t="shared" si="214"/>
        <v>0</v>
      </c>
      <c r="L179" s="145">
        <f t="shared" si="215"/>
        <v>0</v>
      </c>
      <c r="M179" s="5"/>
      <c r="N179" s="5"/>
      <c r="O179" s="5"/>
      <c r="P179" s="5"/>
      <c r="Q179" s="5"/>
    </row>
    <row r="180" spans="1:17" ht="26.25" hidden="1" customHeight="1">
      <c r="A180" s="100"/>
      <c r="B180" s="993" t="s">
        <v>509</v>
      </c>
      <c r="C180" s="948"/>
      <c r="D180" s="102" t="s">
        <v>510</v>
      </c>
      <c r="E180" s="103">
        <f t="shared" si="216"/>
        <v>0</v>
      </c>
      <c r="F180" s="103">
        <f t="shared" si="216"/>
        <v>0</v>
      </c>
      <c r="G180" s="104">
        <f t="shared" si="217"/>
        <v>0</v>
      </c>
      <c r="H180" s="105">
        <f t="shared" si="217"/>
        <v>0</v>
      </c>
      <c r="I180" s="146">
        <f t="shared" si="217"/>
        <v>0</v>
      </c>
      <c r="J180" s="146">
        <f t="shared" si="217"/>
        <v>0</v>
      </c>
      <c r="K180" s="145">
        <f t="shared" si="214"/>
        <v>0</v>
      </c>
      <c r="L180" s="145">
        <f t="shared" si="215"/>
        <v>0</v>
      </c>
      <c r="M180" s="5"/>
      <c r="N180" s="5"/>
      <c r="O180" s="5"/>
      <c r="P180" s="5"/>
      <c r="Q180" s="5"/>
    </row>
    <row r="181" spans="1:17" ht="26.25" hidden="1" customHeight="1">
      <c r="A181" s="100"/>
      <c r="B181" s="993" t="s">
        <v>511</v>
      </c>
      <c r="C181" s="948"/>
      <c r="D181" s="102" t="s">
        <v>512</v>
      </c>
      <c r="E181" s="103">
        <f t="shared" si="216"/>
        <v>0</v>
      </c>
      <c r="F181" s="103">
        <f t="shared" si="216"/>
        <v>0</v>
      </c>
      <c r="G181" s="104">
        <f t="shared" si="217"/>
        <v>0</v>
      </c>
      <c r="H181" s="105">
        <f t="shared" si="217"/>
        <v>0</v>
      </c>
      <c r="I181" s="146">
        <f t="shared" si="217"/>
        <v>0</v>
      </c>
      <c r="J181" s="146">
        <f t="shared" si="217"/>
        <v>0</v>
      </c>
      <c r="K181" s="145">
        <f t="shared" si="214"/>
        <v>0</v>
      </c>
      <c r="L181" s="145">
        <f t="shared" si="215"/>
        <v>0</v>
      </c>
      <c r="M181" s="5"/>
      <c r="N181" s="5"/>
      <c r="O181" s="5"/>
      <c r="P181" s="5"/>
      <c r="Q181" s="5"/>
    </row>
    <row r="182" spans="1:17" ht="12.75" hidden="1" customHeight="1">
      <c r="A182" s="100"/>
      <c r="B182" s="993" t="s">
        <v>513</v>
      </c>
      <c r="C182" s="948"/>
      <c r="D182" s="102" t="s">
        <v>514</v>
      </c>
      <c r="E182" s="103">
        <f t="shared" si="216"/>
        <v>0</v>
      </c>
      <c r="F182" s="103">
        <f t="shared" si="216"/>
        <v>0</v>
      </c>
      <c r="G182" s="104">
        <f t="shared" si="217"/>
        <v>0</v>
      </c>
      <c r="H182" s="105">
        <f t="shared" si="217"/>
        <v>0</v>
      </c>
      <c r="I182" s="146">
        <f t="shared" si="217"/>
        <v>0</v>
      </c>
      <c r="J182" s="146">
        <f t="shared" si="217"/>
        <v>0</v>
      </c>
      <c r="K182" s="145">
        <f t="shared" si="214"/>
        <v>0</v>
      </c>
      <c r="L182" s="145">
        <f t="shared" si="215"/>
        <v>0</v>
      </c>
      <c r="M182" s="5"/>
      <c r="N182" s="5"/>
      <c r="O182" s="5"/>
      <c r="P182" s="5"/>
      <c r="Q182" s="5"/>
    </row>
    <row r="183" spans="1:17" ht="30" hidden="1" customHeight="1">
      <c r="A183" s="100"/>
      <c r="B183" s="993" t="s">
        <v>515</v>
      </c>
      <c r="C183" s="948"/>
      <c r="D183" s="102" t="s">
        <v>516</v>
      </c>
      <c r="E183" s="103">
        <f t="shared" si="216"/>
        <v>0</v>
      </c>
      <c r="F183" s="103">
        <f t="shared" si="216"/>
        <v>0</v>
      </c>
      <c r="G183" s="104">
        <f t="shared" si="217"/>
        <v>0</v>
      </c>
      <c r="H183" s="105">
        <f t="shared" si="217"/>
        <v>0</v>
      </c>
      <c r="I183" s="146">
        <f t="shared" si="217"/>
        <v>0</v>
      </c>
      <c r="J183" s="146">
        <f t="shared" si="217"/>
        <v>0</v>
      </c>
      <c r="K183" s="145">
        <f t="shared" si="214"/>
        <v>0</v>
      </c>
      <c r="L183" s="145">
        <f t="shared" si="215"/>
        <v>0</v>
      </c>
      <c r="M183" s="11"/>
      <c r="N183" s="11"/>
      <c r="O183" s="11"/>
      <c r="P183" s="11"/>
      <c r="Q183" s="11"/>
    </row>
    <row r="184" spans="1:17" ht="29.25" hidden="1" customHeight="1">
      <c r="A184" s="100"/>
      <c r="B184" s="993" t="s">
        <v>517</v>
      </c>
      <c r="C184" s="948"/>
      <c r="D184" s="102" t="s">
        <v>518</v>
      </c>
      <c r="E184" s="103">
        <f t="shared" si="216"/>
        <v>0</v>
      </c>
      <c r="F184" s="103">
        <f t="shared" si="216"/>
        <v>0</v>
      </c>
      <c r="G184" s="104">
        <f t="shared" si="217"/>
        <v>0</v>
      </c>
      <c r="H184" s="105">
        <f t="shared" si="217"/>
        <v>0</v>
      </c>
      <c r="I184" s="146">
        <f t="shared" si="217"/>
        <v>0</v>
      </c>
      <c r="J184" s="146">
        <f t="shared" si="217"/>
        <v>0</v>
      </c>
      <c r="K184" s="145">
        <f t="shared" si="214"/>
        <v>0</v>
      </c>
      <c r="L184" s="145">
        <f t="shared" si="215"/>
        <v>0</v>
      </c>
      <c r="M184" s="171"/>
      <c r="N184" s="171"/>
      <c r="O184" s="171"/>
      <c r="P184" s="171"/>
      <c r="Q184" s="171"/>
    </row>
    <row r="185" spans="1:17" ht="30" hidden="1" customHeight="1">
      <c r="A185" s="100"/>
      <c r="B185" s="993" t="s">
        <v>519</v>
      </c>
      <c r="C185" s="948"/>
      <c r="D185" s="102" t="s">
        <v>520</v>
      </c>
      <c r="E185" s="103">
        <f t="shared" si="216"/>
        <v>0</v>
      </c>
      <c r="F185" s="103">
        <f t="shared" si="216"/>
        <v>0</v>
      </c>
      <c r="G185" s="104">
        <f t="shared" si="217"/>
        <v>0</v>
      </c>
      <c r="H185" s="105">
        <f t="shared" si="217"/>
        <v>0</v>
      </c>
      <c r="I185" s="146">
        <f t="shared" si="217"/>
        <v>0</v>
      </c>
      <c r="J185" s="146">
        <f t="shared" si="217"/>
        <v>0</v>
      </c>
      <c r="K185" s="145">
        <f t="shared" si="214"/>
        <v>0</v>
      </c>
      <c r="L185" s="145">
        <f t="shared" si="215"/>
        <v>0</v>
      </c>
      <c r="M185" s="11"/>
      <c r="N185" s="11"/>
      <c r="O185" s="11"/>
      <c r="P185" s="11"/>
      <c r="Q185" s="11"/>
    </row>
    <row r="186" spans="1:17" ht="30" hidden="1" customHeight="1">
      <c r="A186" s="100"/>
      <c r="B186" s="993" t="s">
        <v>521</v>
      </c>
      <c r="C186" s="948"/>
      <c r="D186" s="102" t="s">
        <v>522</v>
      </c>
      <c r="E186" s="103"/>
      <c r="F186" s="103"/>
      <c r="G186" s="104"/>
      <c r="H186" s="105" t="e">
        <f>SUM(#REF!)</f>
        <v>#REF!</v>
      </c>
      <c r="I186" s="146" t="e">
        <f>SUM(#REF!)</f>
        <v>#REF!</v>
      </c>
      <c r="J186" s="146" t="e">
        <f>SUM(#REF!)</f>
        <v>#REF!</v>
      </c>
      <c r="K186" s="145">
        <f t="shared" si="214"/>
        <v>0</v>
      </c>
      <c r="L186" s="145">
        <f t="shared" si="215"/>
        <v>0</v>
      </c>
      <c r="M186" s="11"/>
      <c r="N186" s="11"/>
      <c r="O186" s="11"/>
      <c r="P186" s="11"/>
      <c r="Q186" s="11"/>
    </row>
    <row r="187" spans="1:17" ht="39.75" customHeight="1">
      <c r="A187" s="100"/>
      <c r="B187" s="993" t="s">
        <v>523</v>
      </c>
      <c r="C187" s="957"/>
      <c r="D187" s="102" t="s">
        <v>524</v>
      </c>
      <c r="E187" s="103">
        <f>E188+E189</f>
        <v>249.7</v>
      </c>
      <c r="F187" s="103">
        <f>F188+F189</f>
        <v>0</v>
      </c>
      <c r="G187" s="104">
        <f>G188+G189</f>
        <v>249.7</v>
      </c>
      <c r="H187" s="105"/>
      <c r="I187" s="146"/>
      <c r="J187" s="146"/>
      <c r="K187" s="145">
        <f t="shared" si="214"/>
        <v>499.4</v>
      </c>
      <c r="L187" s="145">
        <f t="shared" si="215"/>
        <v>249.7</v>
      </c>
      <c r="M187" s="11"/>
      <c r="N187" s="11"/>
      <c r="O187" s="11"/>
      <c r="P187" s="11"/>
      <c r="Q187" s="172">
        <f>E187-G187</f>
        <v>0</v>
      </c>
    </row>
    <row r="188" spans="1:17" ht="38.25" hidden="1" customHeight="1">
      <c r="A188" s="100"/>
      <c r="B188" s="121"/>
      <c r="C188" s="101" t="s">
        <v>525</v>
      </c>
      <c r="D188" s="102" t="s">
        <v>526</v>
      </c>
      <c r="E188" s="103">
        <f>E437</f>
        <v>0</v>
      </c>
      <c r="F188" s="103">
        <f>F437</f>
        <v>0</v>
      </c>
      <c r="G188" s="104">
        <f>G437</f>
        <v>0</v>
      </c>
      <c r="H188" s="105"/>
      <c r="I188" s="146"/>
      <c r="J188" s="146"/>
      <c r="K188" s="145">
        <f t="shared" si="214"/>
        <v>0</v>
      </c>
      <c r="L188" s="145">
        <f t="shared" si="215"/>
        <v>0</v>
      </c>
      <c r="M188" s="11"/>
      <c r="N188" s="11">
        <v>237000</v>
      </c>
      <c r="O188" s="11"/>
      <c r="P188" s="11"/>
      <c r="Q188" s="11"/>
    </row>
    <row r="189" spans="1:17" ht="38.25" customHeight="1">
      <c r="A189" s="100"/>
      <c r="B189" s="121"/>
      <c r="C189" s="101" t="s">
        <v>527</v>
      </c>
      <c r="D189" s="102" t="s">
        <v>528</v>
      </c>
      <c r="E189" s="103">
        <f>E503</f>
        <v>249.7</v>
      </c>
      <c r="F189" s="103">
        <f>F503</f>
        <v>0</v>
      </c>
      <c r="G189" s="104">
        <f>G503</f>
        <v>249.7</v>
      </c>
      <c r="H189" s="105"/>
      <c r="I189" s="146"/>
      <c r="J189" s="146"/>
      <c r="K189" s="145">
        <f t="shared" si="214"/>
        <v>499.4</v>
      </c>
      <c r="L189" s="145">
        <f t="shared" si="215"/>
        <v>249.7</v>
      </c>
      <c r="M189" s="11"/>
      <c r="N189" s="11">
        <v>350000</v>
      </c>
      <c r="O189" s="11"/>
      <c r="P189" s="11"/>
      <c r="Q189" s="172">
        <f>E189-G189</f>
        <v>0</v>
      </c>
    </row>
    <row r="190" spans="1:17" ht="47.25" hidden="1" customHeight="1">
      <c r="A190" s="100"/>
      <c r="B190" s="993" t="s">
        <v>529</v>
      </c>
      <c r="C190" s="948"/>
      <c r="D190" s="102" t="s">
        <v>530</v>
      </c>
      <c r="E190" s="103">
        <f t="shared" ref="E190:F192" si="218">E505</f>
        <v>0</v>
      </c>
      <c r="F190" s="103">
        <f t="shared" si="218"/>
        <v>0</v>
      </c>
      <c r="G190" s="104">
        <f t="shared" ref="G190:J192" si="219">G505</f>
        <v>0</v>
      </c>
      <c r="H190" s="105">
        <f t="shared" si="219"/>
        <v>0</v>
      </c>
      <c r="I190" s="146">
        <f t="shared" si="219"/>
        <v>0</v>
      </c>
      <c r="J190" s="146">
        <f t="shared" si="219"/>
        <v>0</v>
      </c>
      <c r="K190" s="145">
        <f t="shared" si="214"/>
        <v>0</v>
      </c>
      <c r="L190" s="145">
        <f t="shared" si="215"/>
        <v>0</v>
      </c>
      <c r="M190" s="11"/>
      <c r="N190" s="11"/>
      <c r="O190" s="11"/>
      <c r="P190" s="11"/>
      <c r="Q190" s="11"/>
    </row>
    <row r="191" spans="1:17" ht="30" hidden="1" customHeight="1">
      <c r="A191" s="100"/>
      <c r="B191" s="993" t="s">
        <v>531</v>
      </c>
      <c r="C191" s="948"/>
      <c r="D191" s="102" t="s">
        <v>532</v>
      </c>
      <c r="E191" s="103">
        <f t="shared" si="218"/>
        <v>0</v>
      </c>
      <c r="F191" s="103">
        <f t="shared" si="218"/>
        <v>0</v>
      </c>
      <c r="G191" s="104">
        <f t="shared" si="219"/>
        <v>0</v>
      </c>
      <c r="H191" s="105">
        <f t="shared" si="219"/>
        <v>0</v>
      </c>
      <c r="I191" s="146">
        <f t="shared" si="219"/>
        <v>0</v>
      </c>
      <c r="J191" s="146">
        <f t="shared" si="219"/>
        <v>0</v>
      </c>
      <c r="K191" s="145">
        <f t="shared" si="214"/>
        <v>0</v>
      </c>
      <c r="L191" s="145">
        <f t="shared" si="215"/>
        <v>0</v>
      </c>
      <c r="M191" s="11"/>
      <c r="N191" s="11"/>
      <c r="O191" s="11"/>
      <c r="P191" s="11"/>
      <c r="Q191" s="11"/>
    </row>
    <row r="192" spans="1:17" ht="30" hidden="1" customHeight="1">
      <c r="A192" s="100"/>
      <c r="B192" s="1000" t="s">
        <v>521</v>
      </c>
      <c r="C192" s="948"/>
      <c r="D192" s="102" t="s">
        <v>533</v>
      </c>
      <c r="E192" s="103">
        <f t="shared" si="218"/>
        <v>0</v>
      </c>
      <c r="F192" s="103">
        <f t="shared" si="218"/>
        <v>0</v>
      </c>
      <c r="G192" s="104">
        <f t="shared" si="219"/>
        <v>0</v>
      </c>
      <c r="H192" s="105">
        <f t="shared" si="219"/>
        <v>0</v>
      </c>
      <c r="I192" s="146">
        <f t="shared" si="219"/>
        <v>0</v>
      </c>
      <c r="J192" s="146">
        <f t="shared" si="219"/>
        <v>0</v>
      </c>
      <c r="K192" s="145">
        <f t="shared" si="214"/>
        <v>0</v>
      </c>
      <c r="L192" s="145">
        <f t="shared" si="215"/>
        <v>0</v>
      </c>
      <c r="M192" s="168"/>
      <c r="N192" s="168"/>
      <c r="O192" s="168"/>
      <c r="P192" s="168"/>
      <c r="Q192" s="168"/>
    </row>
    <row r="193" spans="1:17" ht="30" hidden="1" customHeight="1">
      <c r="A193" s="100"/>
      <c r="B193" s="993" t="s">
        <v>534</v>
      </c>
      <c r="C193" s="948"/>
      <c r="D193" s="102" t="s">
        <v>535</v>
      </c>
      <c r="E193" s="103">
        <f t="shared" ref="E193:F193" si="220">SUM(E194:E195)</f>
        <v>0</v>
      </c>
      <c r="F193" s="103">
        <f t="shared" si="220"/>
        <v>0</v>
      </c>
      <c r="G193" s="104">
        <f t="shared" ref="G193:J193" si="221">SUM(G194:G195)</f>
        <v>0</v>
      </c>
      <c r="H193" s="105">
        <f t="shared" si="221"/>
        <v>0</v>
      </c>
      <c r="I193" s="146">
        <f t="shared" si="221"/>
        <v>0</v>
      </c>
      <c r="J193" s="146">
        <f t="shared" si="221"/>
        <v>0</v>
      </c>
      <c r="K193" s="145">
        <f t="shared" si="214"/>
        <v>0</v>
      </c>
      <c r="L193" s="145">
        <f t="shared" si="215"/>
        <v>0</v>
      </c>
      <c r="M193" s="11"/>
      <c r="N193" s="11"/>
      <c r="O193" s="11"/>
      <c r="P193" s="11"/>
      <c r="Q193" s="11"/>
    </row>
    <row r="194" spans="1:17" ht="30" hidden="1" customHeight="1">
      <c r="A194" s="100"/>
      <c r="B194" s="173"/>
      <c r="C194" s="166" t="s">
        <v>536</v>
      </c>
      <c r="D194" s="102" t="s">
        <v>537</v>
      </c>
      <c r="E194" s="103">
        <f t="shared" ref="E194:F194" si="222">E439</f>
        <v>0</v>
      </c>
      <c r="F194" s="103">
        <f t="shared" si="222"/>
        <v>0</v>
      </c>
      <c r="G194" s="104">
        <f t="shared" ref="G194:J194" si="223">G439</f>
        <v>0</v>
      </c>
      <c r="H194" s="105">
        <f t="shared" si="223"/>
        <v>0</v>
      </c>
      <c r="I194" s="146">
        <f t="shared" si="223"/>
        <v>0</v>
      </c>
      <c r="J194" s="146">
        <f t="shared" si="223"/>
        <v>0</v>
      </c>
      <c r="K194" s="145">
        <f t="shared" si="214"/>
        <v>0</v>
      </c>
      <c r="L194" s="145">
        <f t="shared" si="215"/>
        <v>0</v>
      </c>
      <c r="M194" s="168"/>
      <c r="N194" s="168"/>
      <c r="O194" s="168"/>
      <c r="P194" s="168"/>
      <c r="Q194" s="168"/>
    </row>
    <row r="195" spans="1:17" ht="30" hidden="1" customHeight="1">
      <c r="A195" s="100"/>
      <c r="B195" s="173"/>
      <c r="C195" s="166" t="s">
        <v>538</v>
      </c>
      <c r="D195" s="102" t="s">
        <v>539</v>
      </c>
      <c r="E195" s="103">
        <f t="shared" ref="E195:F197" si="224">E509</f>
        <v>0</v>
      </c>
      <c r="F195" s="103">
        <f t="shared" si="224"/>
        <v>0</v>
      </c>
      <c r="G195" s="104">
        <f t="shared" ref="G195:J197" si="225">G509</f>
        <v>0</v>
      </c>
      <c r="H195" s="105">
        <f t="shared" si="225"/>
        <v>0</v>
      </c>
      <c r="I195" s="146">
        <f t="shared" si="225"/>
        <v>0</v>
      </c>
      <c r="J195" s="146">
        <f t="shared" si="225"/>
        <v>0</v>
      </c>
      <c r="K195" s="145">
        <f t="shared" si="214"/>
        <v>0</v>
      </c>
      <c r="L195" s="145">
        <f t="shared" si="215"/>
        <v>0</v>
      </c>
      <c r="M195" s="168"/>
      <c r="N195" s="168"/>
      <c r="O195" s="168"/>
      <c r="P195" s="168"/>
      <c r="Q195" s="168"/>
    </row>
    <row r="196" spans="1:17" ht="12.75" customHeight="1">
      <c r="A196" s="106"/>
      <c r="B196" s="994" t="s">
        <v>540</v>
      </c>
      <c r="C196" s="948"/>
      <c r="D196" s="108" t="s">
        <v>541</v>
      </c>
      <c r="E196" s="109">
        <f t="shared" si="224"/>
        <v>852</v>
      </c>
      <c r="F196" s="109">
        <f t="shared" si="224"/>
        <v>0</v>
      </c>
      <c r="G196" s="110">
        <f t="shared" si="225"/>
        <v>852</v>
      </c>
      <c r="H196" s="105">
        <f t="shared" si="225"/>
        <v>0</v>
      </c>
      <c r="I196" s="146">
        <f t="shared" si="225"/>
        <v>0</v>
      </c>
      <c r="J196" s="146">
        <f t="shared" si="225"/>
        <v>0</v>
      </c>
      <c r="K196" s="137">
        <f t="shared" si="214"/>
        <v>1704</v>
      </c>
      <c r="L196" s="137">
        <f t="shared" si="215"/>
        <v>852</v>
      </c>
      <c r="M196" s="144"/>
      <c r="N196" s="182">
        <v>93422466.780000001</v>
      </c>
      <c r="O196" s="144"/>
      <c r="P196" s="144"/>
      <c r="Q196" s="139">
        <f t="shared" ref="Q196:Q197" si="226">E196-G196</f>
        <v>0</v>
      </c>
    </row>
    <row r="197" spans="1:17" ht="51" hidden="1" customHeight="1">
      <c r="A197" s="106"/>
      <c r="B197" s="994" t="s">
        <v>542</v>
      </c>
      <c r="C197" s="948"/>
      <c r="D197" s="108" t="s">
        <v>543</v>
      </c>
      <c r="E197" s="109">
        <f t="shared" si="224"/>
        <v>0</v>
      </c>
      <c r="F197" s="109">
        <f t="shared" si="224"/>
        <v>0</v>
      </c>
      <c r="G197" s="110">
        <f t="shared" si="225"/>
        <v>0</v>
      </c>
      <c r="H197" s="105"/>
      <c r="I197" s="146"/>
      <c r="J197" s="146"/>
      <c r="K197" s="137">
        <f t="shared" si="214"/>
        <v>0</v>
      </c>
      <c r="L197" s="137">
        <f t="shared" si="215"/>
        <v>0</v>
      </c>
      <c r="M197" s="144"/>
      <c r="N197" s="144">
        <v>3978695.26</v>
      </c>
      <c r="O197" s="144"/>
      <c r="P197" s="144"/>
      <c r="Q197" s="139">
        <f t="shared" si="226"/>
        <v>0</v>
      </c>
    </row>
    <row r="198" spans="1:17" ht="39" hidden="1" customHeight="1">
      <c r="A198" s="100"/>
      <c r="B198" s="993" t="s">
        <v>544</v>
      </c>
      <c r="C198" s="948"/>
      <c r="D198" s="122" t="s">
        <v>545</v>
      </c>
      <c r="E198" s="103">
        <f t="shared" ref="E198:F198" si="227">E440</f>
        <v>0</v>
      </c>
      <c r="F198" s="103">
        <f t="shared" si="227"/>
        <v>0</v>
      </c>
      <c r="G198" s="104">
        <f t="shared" ref="G198" si="228">G440</f>
        <v>0</v>
      </c>
      <c r="H198" s="105"/>
      <c r="I198" s="146"/>
      <c r="J198" s="146"/>
      <c r="K198" s="145">
        <f t="shared" si="214"/>
        <v>0</v>
      </c>
      <c r="L198" s="145">
        <f t="shared" si="215"/>
        <v>0</v>
      </c>
      <c r="M198" s="11"/>
      <c r="N198" s="11"/>
      <c r="O198" s="11"/>
      <c r="P198" s="11"/>
      <c r="Q198" s="11"/>
    </row>
    <row r="199" spans="1:17" ht="39" customHeight="1">
      <c r="A199" s="106"/>
      <c r="B199" s="994" t="s">
        <v>546</v>
      </c>
      <c r="C199" s="948"/>
      <c r="D199" s="108" t="s">
        <v>547</v>
      </c>
      <c r="E199" s="109">
        <f t="shared" ref="E199:F199" si="229">E512</f>
        <v>15852.2</v>
      </c>
      <c r="F199" s="109">
        <f t="shared" si="229"/>
        <v>0</v>
      </c>
      <c r="G199" s="110">
        <f t="shared" ref="G199" si="230">G512</f>
        <v>15852.2</v>
      </c>
      <c r="H199" s="105"/>
      <c r="I199" s="146"/>
      <c r="J199" s="146"/>
      <c r="K199" s="137">
        <f t="shared" si="214"/>
        <v>31704.400000000001</v>
      </c>
      <c r="L199" s="137">
        <f t="shared" si="215"/>
        <v>15852.2</v>
      </c>
      <c r="M199" s="144"/>
      <c r="N199" s="144"/>
      <c r="O199" s="144"/>
      <c r="P199" s="144"/>
      <c r="Q199" s="139"/>
    </row>
    <row r="200" spans="1:17" ht="39" customHeight="1">
      <c r="A200" s="106"/>
      <c r="B200" s="994" t="s">
        <v>548</v>
      </c>
      <c r="C200" s="948"/>
      <c r="D200" s="108" t="s">
        <v>549</v>
      </c>
      <c r="E200" s="109">
        <f t="shared" ref="E200:F200" si="231">SUM(E201:E203)</f>
        <v>57117.2</v>
      </c>
      <c r="F200" s="109">
        <f t="shared" si="231"/>
        <v>0</v>
      </c>
      <c r="G200" s="110">
        <f t="shared" ref="G200" si="232">SUM(G201:G203)</f>
        <v>57117.2</v>
      </c>
      <c r="H200" s="105"/>
      <c r="I200" s="146"/>
      <c r="J200" s="146"/>
      <c r="K200" s="137">
        <f t="shared" si="214"/>
        <v>114234.4</v>
      </c>
      <c r="L200" s="137">
        <f t="shared" si="215"/>
        <v>57117.2</v>
      </c>
      <c r="M200" s="144"/>
      <c r="N200" s="144"/>
      <c r="O200" s="144"/>
      <c r="P200" s="144"/>
      <c r="Q200" s="139">
        <f t="shared" ref="Q200:Q201" si="233">E200-G200</f>
        <v>0</v>
      </c>
    </row>
    <row r="201" spans="1:17" s="61" customFormat="1" ht="12.75">
      <c r="A201" s="106"/>
      <c r="B201" s="120"/>
      <c r="C201" s="107" t="s">
        <v>550</v>
      </c>
      <c r="D201" s="163" t="s">
        <v>551</v>
      </c>
      <c r="E201" s="109">
        <f t="shared" ref="E201:F205" si="234">E514</f>
        <v>47997.99</v>
      </c>
      <c r="F201" s="109">
        <f t="shared" si="234"/>
        <v>0</v>
      </c>
      <c r="G201" s="110">
        <f t="shared" ref="G201:G205" si="235">G514</f>
        <v>47997.99</v>
      </c>
      <c r="H201" s="174"/>
      <c r="I201" s="183"/>
      <c r="J201" s="183"/>
      <c r="K201" s="137">
        <f t="shared" si="214"/>
        <v>95995.98</v>
      </c>
      <c r="L201" s="137">
        <f t="shared" si="215"/>
        <v>47997.99</v>
      </c>
      <c r="M201" s="169"/>
      <c r="N201" s="169"/>
      <c r="O201" s="169"/>
      <c r="P201" s="169"/>
      <c r="Q201" s="139">
        <f t="shared" si="233"/>
        <v>0</v>
      </c>
    </row>
    <row r="202" spans="1:17" s="61" customFormat="1" ht="30" hidden="1" customHeight="1">
      <c r="A202" s="106"/>
      <c r="B202" s="120"/>
      <c r="C202" s="107" t="s">
        <v>552</v>
      </c>
      <c r="D202" s="163" t="s">
        <v>553</v>
      </c>
      <c r="E202" s="109">
        <f t="shared" si="234"/>
        <v>0</v>
      </c>
      <c r="F202" s="109">
        <f t="shared" si="234"/>
        <v>0</v>
      </c>
      <c r="G202" s="175">
        <f t="shared" si="235"/>
        <v>0</v>
      </c>
      <c r="H202" s="174"/>
      <c r="I202" s="183"/>
      <c r="J202" s="183"/>
      <c r="K202" s="145">
        <f t="shared" si="214"/>
        <v>0</v>
      </c>
      <c r="L202" s="137">
        <f>IF(G202&lt;&gt;0,G202,0)</f>
        <v>0</v>
      </c>
      <c r="M202" s="184"/>
      <c r="N202" s="184"/>
      <c r="O202" s="184"/>
      <c r="P202" s="184"/>
      <c r="Q202" s="172"/>
    </row>
    <row r="203" spans="1:17" s="61" customFormat="1" ht="12.75">
      <c r="A203" s="106"/>
      <c r="B203" s="120"/>
      <c r="C203" s="107" t="s">
        <v>554</v>
      </c>
      <c r="D203" s="163" t="s">
        <v>555</v>
      </c>
      <c r="E203" s="109">
        <f t="shared" si="234"/>
        <v>9119.2099999999973</v>
      </c>
      <c r="F203" s="109">
        <f t="shared" si="234"/>
        <v>0</v>
      </c>
      <c r="G203" s="110">
        <f t="shared" si="235"/>
        <v>9119.2099999999973</v>
      </c>
      <c r="H203" s="174"/>
      <c r="I203" s="183"/>
      <c r="J203" s="183"/>
      <c r="K203" s="137">
        <f t="shared" si="214"/>
        <v>18238.419999999995</v>
      </c>
      <c r="L203" s="137">
        <f t="shared" si="215"/>
        <v>9119.2099999999973</v>
      </c>
      <c r="M203" s="169"/>
      <c r="N203" s="169"/>
      <c r="O203" s="169"/>
      <c r="P203" s="169"/>
      <c r="Q203" s="139">
        <f>E203-G203</f>
        <v>0</v>
      </c>
    </row>
    <row r="204" spans="1:17" ht="39" customHeight="1">
      <c r="A204" s="106"/>
      <c r="B204" s="994" t="s">
        <v>556</v>
      </c>
      <c r="C204" s="948"/>
      <c r="D204" s="108" t="s">
        <v>557</v>
      </c>
      <c r="E204" s="109">
        <f t="shared" ref="E204:F204" si="236">SUM(E205)</f>
        <v>2052.87</v>
      </c>
      <c r="F204" s="109">
        <f t="shared" si="236"/>
        <v>0</v>
      </c>
      <c r="G204" s="110">
        <f t="shared" ref="G204" si="237">SUM(G205)</f>
        <v>2052.87</v>
      </c>
      <c r="H204" s="105"/>
      <c r="I204" s="146"/>
      <c r="J204" s="146"/>
      <c r="K204" s="137">
        <f t="shared" ref="K204:K205" si="238">SUM(E204:G204)</f>
        <v>4105.74</v>
      </c>
      <c r="L204" s="137">
        <f t="shared" ref="L204:L205" si="239">IF(G204&lt;&gt;0,G204,0)</f>
        <v>2052.87</v>
      </c>
      <c r="M204" s="144"/>
      <c r="N204" s="144"/>
      <c r="O204" s="144"/>
      <c r="P204" s="144"/>
      <c r="Q204" s="139">
        <f t="shared" ref="Q204:Q272" si="240">E204-G204</f>
        <v>0</v>
      </c>
    </row>
    <row r="205" spans="1:17" s="61" customFormat="1" ht="38.25">
      <c r="A205" s="106"/>
      <c r="B205" s="120"/>
      <c r="C205" s="107" t="s">
        <v>558</v>
      </c>
      <c r="D205" s="163" t="s">
        <v>559</v>
      </c>
      <c r="E205" s="109">
        <f t="shared" si="234"/>
        <v>2052.87</v>
      </c>
      <c r="F205" s="109">
        <f t="shared" si="234"/>
        <v>0</v>
      </c>
      <c r="G205" s="110">
        <f t="shared" si="235"/>
        <v>2052.87</v>
      </c>
      <c r="H205" s="174"/>
      <c r="I205" s="183"/>
      <c r="J205" s="183"/>
      <c r="K205" s="137">
        <f t="shared" si="238"/>
        <v>4105.74</v>
      </c>
      <c r="L205" s="137">
        <f t="shared" si="239"/>
        <v>2052.87</v>
      </c>
      <c r="M205" s="169"/>
      <c r="N205" s="169"/>
      <c r="O205" s="169"/>
      <c r="P205" s="169"/>
      <c r="Q205" s="139">
        <f t="shared" si="240"/>
        <v>0</v>
      </c>
    </row>
    <row r="206" spans="1:17" ht="12.75" customHeight="1">
      <c r="A206" s="989" t="s">
        <v>560</v>
      </c>
      <c r="B206" s="948"/>
      <c r="C206" s="948"/>
      <c r="D206" s="97" t="s">
        <v>561</v>
      </c>
      <c r="E206" s="98">
        <f>SUM(E207:E212)</f>
        <v>15201.7</v>
      </c>
      <c r="F206" s="98">
        <f t="shared" ref="F206:G206" si="241">SUM(F207:F212)</f>
        <v>0</v>
      </c>
      <c r="G206" s="99">
        <f t="shared" si="241"/>
        <v>15201.7</v>
      </c>
      <c r="H206" s="96">
        <f t="shared" ref="H206:J206" si="242">SUM(H207:H210)</f>
        <v>0</v>
      </c>
      <c r="I206" s="141">
        <f t="shared" si="242"/>
        <v>0</v>
      </c>
      <c r="J206" s="141">
        <f t="shared" si="242"/>
        <v>0</v>
      </c>
      <c r="K206" s="145">
        <f t="shared" si="214"/>
        <v>30403.4</v>
      </c>
      <c r="L206" s="145">
        <f t="shared" si="215"/>
        <v>15201.7</v>
      </c>
      <c r="M206" s="11"/>
      <c r="N206" s="11"/>
      <c r="O206" s="11"/>
      <c r="P206" s="11"/>
      <c r="Q206" s="139">
        <f t="shared" si="240"/>
        <v>0</v>
      </c>
    </row>
    <row r="207" spans="1:17" ht="28.5" hidden="1" customHeight="1">
      <c r="A207" s="100"/>
      <c r="B207" s="993" t="s">
        <v>562</v>
      </c>
      <c r="C207" s="948"/>
      <c r="D207" s="102" t="s">
        <v>563</v>
      </c>
      <c r="E207" s="103">
        <f t="shared" ref="E207:F207" si="243">SUM(E442)</f>
        <v>0</v>
      </c>
      <c r="F207" s="103">
        <f t="shared" si="243"/>
        <v>0</v>
      </c>
      <c r="G207" s="104">
        <f t="shared" ref="G207" si="244">SUM(G442)</f>
        <v>0</v>
      </c>
      <c r="H207" s="105">
        <f t="shared" ref="H207:J210" si="245">SUM(H442)</f>
        <v>0</v>
      </c>
      <c r="I207" s="146">
        <f t="shared" si="245"/>
        <v>0</v>
      </c>
      <c r="J207" s="146">
        <f t="shared" si="245"/>
        <v>0</v>
      </c>
      <c r="K207" s="145">
        <f t="shared" si="214"/>
        <v>0</v>
      </c>
      <c r="L207" s="145">
        <f t="shared" si="215"/>
        <v>0</v>
      </c>
      <c r="M207" s="168"/>
      <c r="N207" s="168"/>
      <c r="O207" s="168"/>
      <c r="P207" s="168"/>
      <c r="Q207" s="139">
        <f t="shared" si="240"/>
        <v>0</v>
      </c>
    </row>
    <row r="208" spans="1:17" ht="40.5" hidden="1" customHeight="1">
      <c r="A208" s="176"/>
      <c r="B208" s="993" t="s">
        <v>564</v>
      </c>
      <c r="C208" s="948"/>
      <c r="D208" s="102" t="s">
        <v>565</v>
      </c>
      <c r="E208" s="103">
        <f t="shared" ref="E208:F210" si="246">SUM(E443)</f>
        <v>0</v>
      </c>
      <c r="F208" s="103">
        <f t="shared" si="246"/>
        <v>0</v>
      </c>
      <c r="G208" s="104">
        <f t="shared" ref="G208:G210" si="247">SUM(G443)</f>
        <v>0</v>
      </c>
      <c r="H208" s="105">
        <f t="shared" si="245"/>
        <v>0</v>
      </c>
      <c r="I208" s="146">
        <f t="shared" si="245"/>
        <v>0</v>
      </c>
      <c r="J208" s="146">
        <f t="shared" si="245"/>
        <v>0</v>
      </c>
      <c r="K208" s="145">
        <f t="shared" si="214"/>
        <v>0</v>
      </c>
      <c r="L208" s="145">
        <f t="shared" si="215"/>
        <v>0</v>
      </c>
      <c r="M208" s="5"/>
      <c r="N208" s="5"/>
      <c r="O208" s="5"/>
      <c r="P208" s="5"/>
      <c r="Q208" s="139">
        <f t="shared" si="240"/>
        <v>0</v>
      </c>
    </row>
    <row r="209" spans="1:17" ht="28.5" hidden="1" customHeight="1">
      <c r="A209" s="176"/>
      <c r="B209" s="993" t="s">
        <v>566</v>
      </c>
      <c r="C209" s="948"/>
      <c r="D209" s="102" t="s">
        <v>567</v>
      </c>
      <c r="E209" s="103">
        <f t="shared" si="246"/>
        <v>0</v>
      </c>
      <c r="F209" s="103">
        <f t="shared" si="246"/>
        <v>0</v>
      </c>
      <c r="G209" s="104">
        <f t="shared" si="247"/>
        <v>0</v>
      </c>
      <c r="H209" s="105">
        <f t="shared" si="245"/>
        <v>0</v>
      </c>
      <c r="I209" s="146">
        <f t="shared" si="245"/>
        <v>0</v>
      </c>
      <c r="J209" s="146">
        <f t="shared" si="245"/>
        <v>0</v>
      </c>
      <c r="K209" s="145">
        <f t="shared" si="214"/>
        <v>0</v>
      </c>
      <c r="L209" s="145">
        <f t="shared" si="215"/>
        <v>0</v>
      </c>
      <c r="M209" s="5"/>
      <c r="N209" s="5"/>
      <c r="O209" s="5"/>
      <c r="P209" s="5"/>
      <c r="Q209" s="139">
        <f t="shared" si="240"/>
        <v>0</v>
      </c>
    </row>
    <row r="210" spans="1:17" ht="28.5" hidden="1" customHeight="1">
      <c r="A210" s="176"/>
      <c r="B210" s="993" t="s">
        <v>568</v>
      </c>
      <c r="C210" s="948"/>
      <c r="D210" s="102" t="s">
        <v>569</v>
      </c>
      <c r="E210" s="103">
        <f t="shared" si="246"/>
        <v>0</v>
      </c>
      <c r="F210" s="103">
        <f t="shared" si="246"/>
        <v>0</v>
      </c>
      <c r="G210" s="104">
        <f t="shared" si="247"/>
        <v>0</v>
      </c>
      <c r="H210" s="105">
        <f t="shared" si="245"/>
        <v>0</v>
      </c>
      <c r="I210" s="146">
        <f t="shared" si="245"/>
        <v>0</v>
      </c>
      <c r="J210" s="146">
        <f t="shared" si="245"/>
        <v>0</v>
      </c>
      <c r="K210" s="145">
        <f t="shared" si="214"/>
        <v>0</v>
      </c>
      <c r="L210" s="145">
        <f t="shared" si="215"/>
        <v>0</v>
      </c>
      <c r="M210" s="5"/>
      <c r="N210" s="5"/>
      <c r="O210" s="5"/>
      <c r="P210" s="5"/>
      <c r="Q210" s="139">
        <f t="shared" si="240"/>
        <v>0</v>
      </c>
    </row>
    <row r="211" spans="1:17" ht="40.15" customHeight="1">
      <c r="A211" s="176"/>
      <c r="B211" s="993" t="s">
        <v>570</v>
      </c>
      <c r="C211" s="948"/>
      <c r="D211" s="102" t="s">
        <v>571</v>
      </c>
      <c r="E211" s="103">
        <f>E520</f>
        <v>14958.7</v>
      </c>
      <c r="F211" s="103">
        <f t="shared" ref="F211" si="248">F520</f>
        <v>0</v>
      </c>
      <c r="G211" s="104">
        <f t="shared" ref="G211:G215" si="249">G520</f>
        <v>14958.7</v>
      </c>
      <c r="H211" s="105">
        <f>ROUND(F211*H$7,)</f>
        <v>0</v>
      </c>
      <c r="I211" s="146">
        <f>ROUND(F211*I$7,)</f>
        <v>0</v>
      </c>
      <c r="J211" s="146">
        <f>ROUND(F211*J$7,)</f>
        <v>0</v>
      </c>
      <c r="K211" s="145">
        <f t="shared" ref="K211" si="250">SUM(E211:G211)</f>
        <v>29917.4</v>
      </c>
      <c r="L211" s="145">
        <f t="shared" si="215"/>
        <v>14958.7</v>
      </c>
      <c r="M211" s="5"/>
      <c r="N211" s="5"/>
      <c r="O211" s="5"/>
      <c r="P211" s="5"/>
      <c r="Q211" s="139">
        <f t="shared" si="240"/>
        <v>0</v>
      </c>
    </row>
    <row r="212" spans="1:17" ht="40.15" customHeight="1">
      <c r="A212" s="176"/>
      <c r="B212" s="993" t="s">
        <v>640</v>
      </c>
      <c r="C212" s="948"/>
      <c r="D212" s="102" t="s">
        <v>994</v>
      </c>
      <c r="E212" s="103">
        <f t="shared" ref="E212:F212" si="251">E521</f>
        <v>243</v>
      </c>
      <c r="F212" s="103">
        <f t="shared" si="251"/>
        <v>0</v>
      </c>
      <c r="G212" s="104">
        <f t="shared" si="249"/>
        <v>243</v>
      </c>
      <c r="H212" s="105"/>
      <c r="I212" s="146"/>
      <c r="J212" s="146"/>
      <c r="K212" s="145">
        <f t="shared" ref="K212:K215" si="252">SUM(E212:G212)</f>
        <v>486</v>
      </c>
      <c r="L212" s="145">
        <f t="shared" si="215"/>
        <v>243</v>
      </c>
      <c r="M212" s="5"/>
      <c r="N212" s="5"/>
      <c r="O212" s="5"/>
      <c r="P212" s="5"/>
      <c r="Q212" s="139">
        <f t="shared" si="240"/>
        <v>0</v>
      </c>
    </row>
    <row r="213" spans="1:17" ht="12.75" customHeight="1">
      <c r="A213" s="176"/>
      <c r="B213" s="121"/>
      <c r="C213" s="177" t="s">
        <v>550</v>
      </c>
      <c r="D213" s="178" t="s">
        <v>995</v>
      </c>
      <c r="E213" s="179">
        <f t="shared" ref="E213:F213" si="253">E522</f>
        <v>204.2</v>
      </c>
      <c r="F213" s="179">
        <f t="shared" si="253"/>
        <v>0</v>
      </c>
      <c r="G213" s="180">
        <f t="shared" si="249"/>
        <v>204.2</v>
      </c>
      <c r="H213" s="181"/>
      <c r="I213" s="185"/>
      <c r="J213" s="185"/>
      <c r="K213" s="145">
        <f t="shared" si="252"/>
        <v>408.4</v>
      </c>
      <c r="L213" s="145">
        <f t="shared" si="215"/>
        <v>204.2</v>
      </c>
      <c r="M213" s="11"/>
      <c r="N213" s="11"/>
      <c r="O213" s="11"/>
      <c r="P213" s="11"/>
      <c r="Q213" s="139">
        <f t="shared" si="240"/>
        <v>0</v>
      </c>
    </row>
    <row r="214" spans="1:17" ht="12.75" customHeight="1">
      <c r="A214" s="176"/>
      <c r="B214" s="121"/>
      <c r="C214" s="177" t="s">
        <v>552</v>
      </c>
      <c r="D214" s="178" t="s">
        <v>996</v>
      </c>
      <c r="E214" s="179">
        <f t="shared" ref="E214:F214" si="254">E523</f>
        <v>0</v>
      </c>
      <c r="F214" s="179">
        <f t="shared" si="254"/>
        <v>0</v>
      </c>
      <c r="G214" s="180">
        <f t="shared" si="249"/>
        <v>0</v>
      </c>
      <c r="H214" s="181"/>
      <c r="I214" s="185"/>
      <c r="J214" s="185"/>
      <c r="K214" s="145"/>
      <c r="L214" s="145"/>
      <c r="M214" s="11"/>
      <c r="N214" s="11"/>
      <c r="O214" s="11"/>
      <c r="P214" s="11"/>
      <c r="Q214" s="139"/>
    </row>
    <row r="215" spans="1:17" ht="12.75" customHeight="1">
      <c r="A215" s="176"/>
      <c r="B215" s="121"/>
      <c r="C215" s="177" t="s">
        <v>554</v>
      </c>
      <c r="D215" s="178" t="s">
        <v>997</v>
      </c>
      <c r="E215" s="179">
        <f t="shared" ref="E215:F215" si="255">E524</f>
        <v>38.799999999999997</v>
      </c>
      <c r="F215" s="179">
        <f t="shared" si="255"/>
        <v>0</v>
      </c>
      <c r="G215" s="180">
        <f t="shared" si="249"/>
        <v>38.799999999999997</v>
      </c>
      <c r="H215" s="181"/>
      <c r="I215" s="185"/>
      <c r="J215" s="185"/>
      <c r="K215" s="145">
        <f t="shared" si="252"/>
        <v>77.599999999999994</v>
      </c>
      <c r="L215" s="145" t="str">
        <f>C215</f>
        <v>Sume aferente TVA</v>
      </c>
      <c r="M215" s="11"/>
      <c r="N215" s="11"/>
      <c r="O215" s="11"/>
      <c r="P215" s="11"/>
      <c r="Q215" s="139">
        <f t="shared" si="240"/>
        <v>0</v>
      </c>
    </row>
    <row r="216" spans="1:17" ht="27" customHeight="1">
      <c r="A216" s="989" t="s">
        <v>572</v>
      </c>
      <c r="B216" s="948"/>
      <c r="C216" s="948"/>
      <c r="D216" s="97" t="s">
        <v>573</v>
      </c>
      <c r="E216" s="98">
        <f t="shared" ref="E216:F216" si="256">SUM(E217,E222,E227,E231,E235,E239,E243,E248,E252,E256,E260)</f>
        <v>110230.55</v>
      </c>
      <c r="F216" s="98">
        <f t="shared" si="256"/>
        <v>0</v>
      </c>
      <c r="G216" s="99">
        <f t="shared" ref="G216:J216" si="257">SUM(G217,G222,G227,G231,G235,G239,G243,G248,G252,G256,G260)</f>
        <v>110230.55</v>
      </c>
      <c r="H216" s="96">
        <f t="shared" si="257"/>
        <v>0</v>
      </c>
      <c r="I216" s="141">
        <f t="shared" si="257"/>
        <v>0</v>
      </c>
      <c r="J216" s="141">
        <f t="shared" si="257"/>
        <v>0</v>
      </c>
      <c r="K216" s="145">
        <f t="shared" si="214"/>
        <v>220461.1</v>
      </c>
      <c r="L216" s="145">
        <f t="shared" si="215"/>
        <v>110230.55</v>
      </c>
      <c r="M216" s="168"/>
      <c r="N216" s="168"/>
      <c r="O216" s="168"/>
      <c r="P216" s="168"/>
      <c r="Q216" s="139">
        <f t="shared" si="240"/>
        <v>0</v>
      </c>
    </row>
    <row r="217" spans="1:17" ht="12.75" hidden="1" customHeight="1">
      <c r="A217" s="176"/>
      <c r="B217" s="993" t="s">
        <v>574</v>
      </c>
      <c r="C217" s="948"/>
      <c r="D217" s="102" t="s">
        <v>575</v>
      </c>
      <c r="E217" s="103">
        <f t="shared" ref="E217:F217" si="258">SUM(E218:E221)</f>
        <v>0</v>
      </c>
      <c r="F217" s="103">
        <f t="shared" si="258"/>
        <v>0</v>
      </c>
      <c r="G217" s="104">
        <f t="shared" ref="G217:J217" si="259">SUM(G218:G221)</f>
        <v>0</v>
      </c>
      <c r="H217" s="105">
        <f t="shared" si="259"/>
        <v>0</v>
      </c>
      <c r="I217" s="146">
        <f t="shared" si="259"/>
        <v>0</v>
      </c>
      <c r="J217" s="146">
        <f t="shared" si="259"/>
        <v>0</v>
      </c>
      <c r="K217" s="145">
        <f t="shared" si="214"/>
        <v>0</v>
      </c>
      <c r="L217" s="145">
        <f t="shared" si="215"/>
        <v>0</v>
      </c>
      <c r="M217" s="11"/>
      <c r="N217" s="11"/>
      <c r="O217" s="11"/>
      <c r="P217" s="11"/>
      <c r="Q217" s="139">
        <f t="shared" si="240"/>
        <v>0</v>
      </c>
    </row>
    <row r="218" spans="1:17" ht="12.75" hidden="1" customHeight="1">
      <c r="A218" s="176"/>
      <c r="B218" s="121"/>
      <c r="C218" s="177" t="s">
        <v>576</v>
      </c>
      <c r="D218" s="178" t="s">
        <v>577</v>
      </c>
      <c r="E218" s="179">
        <f t="shared" ref="E218:F218" si="260">SUM(E528)</f>
        <v>0</v>
      </c>
      <c r="F218" s="179">
        <f t="shared" si="260"/>
        <v>0</v>
      </c>
      <c r="G218" s="180">
        <f t="shared" ref="G218" si="261">SUM(G528)</f>
        <v>0</v>
      </c>
      <c r="H218" s="181">
        <f t="shared" ref="H218:J221" si="262">SUM(H528)</f>
        <v>0</v>
      </c>
      <c r="I218" s="185">
        <f t="shared" si="262"/>
        <v>0</v>
      </c>
      <c r="J218" s="185">
        <f t="shared" si="262"/>
        <v>0</v>
      </c>
      <c r="K218" s="145">
        <f t="shared" si="214"/>
        <v>0</v>
      </c>
      <c r="L218" s="145">
        <f t="shared" si="215"/>
        <v>0</v>
      </c>
      <c r="M218" s="11"/>
      <c r="N218" s="11"/>
      <c r="O218" s="11"/>
      <c r="P218" s="11"/>
      <c r="Q218" s="139">
        <f t="shared" si="240"/>
        <v>0</v>
      </c>
    </row>
    <row r="219" spans="1:17" ht="12.75" hidden="1" customHeight="1">
      <c r="A219" s="176"/>
      <c r="B219" s="121"/>
      <c r="C219" s="116" t="s">
        <v>578</v>
      </c>
      <c r="D219" s="117" t="s">
        <v>579</v>
      </c>
      <c r="E219" s="179">
        <f t="shared" ref="E219:F221" si="263">SUM(E529)</f>
        <v>0</v>
      </c>
      <c r="F219" s="179">
        <f t="shared" si="263"/>
        <v>0</v>
      </c>
      <c r="G219" s="180">
        <f t="shared" ref="G219:G221" si="264">SUM(G529)</f>
        <v>0</v>
      </c>
      <c r="H219" s="181">
        <f t="shared" si="262"/>
        <v>0</v>
      </c>
      <c r="I219" s="185">
        <f t="shared" si="262"/>
        <v>0</v>
      </c>
      <c r="J219" s="185">
        <f t="shared" si="262"/>
        <v>0</v>
      </c>
      <c r="K219" s="145">
        <f t="shared" si="214"/>
        <v>0</v>
      </c>
      <c r="L219" s="145">
        <f t="shared" si="215"/>
        <v>0</v>
      </c>
      <c r="M219" s="156"/>
      <c r="N219" s="156"/>
      <c r="O219" s="156"/>
      <c r="P219" s="156"/>
      <c r="Q219" s="139">
        <f t="shared" si="240"/>
        <v>0</v>
      </c>
    </row>
    <row r="220" spans="1:17" ht="12.75" hidden="1" customHeight="1">
      <c r="A220" s="176"/>
      <c r="B220" s="121"/>
      <c r="C220" s="177" t="s">
        <v>580</v>
      </c>
      <c r="D220" s="178" t="s">
        <v>581</v>
      </c>
      <c r="E220" s="179">
        <f t="shared" si="263"/>
        <v>0</v>
      </c>
      <c r="F220" s="179">
        <f t="shared" si="263"/>
        <v>0</v>
      </c>
      <c r="G220" s="180">
        <f t="shared" si="264"/>
        <v>0</v>
      </c>
      <c r="H220" s="181">
        <f t="shared" si="262"/>
        <v>0</v>
      </c>
      <c r="I220" s="185">
        <f t="shared" si="262"/>
        <v>0</v>
      </c>
      <c r="J220" s="185">
        <f t="shared" si="262"/>
        <v>0</v>
      </c>
      <c r="K220" s="145">
        <f t="shared" si="214"/>
        <v>0</v>
      </c>
      <c r="L220" s="145">
        <f t="shared" si="215"/>
        <v>0</v>
      </c>
      <c r="M220" s="156"/>
      <c r="N220" s="156"/>
      <c r="O220" s="156"/>
      <c r="P220" s="156"/>
      <c r="Q220" s="139">
        <f t="shared" si="240"/>
        <v>0</v>
      </c>
    </row>
    <row r="221" spans="1:17" ht="12.75" hidden="1" customHeight="1">
      <c r="A221" s="176"/>
      <c r="B221" s="121"/>
      <c r="C221" s="177" t="s">
        <v>582</v>
      </c>
      <c r="D221" s="178" t="s">
        <v>583</v>
      </c>
      <c r="E221" s="179">
        <f t="shared" si="263"/>
        <v>0</v>
      </c>
      <c r="F221" s="179">
        <f t="shared" si="263"/>
        <v>0</v>
      </c>
      <c r="G221" s="180">
        <f t="shared" si="264"/>
        <v>0</v>
      </c>
      <c r="H221" s="181">
        <f t="shared" si="262"/>
        <v>0</v>
      </c>
      <c r="I221" s="185">
        <f t="shared" si="262"/>
        <v>0</v>
      </c>
      <c r="J221" s="185">
        <f t="shared" si="262"/>
        <v>0</v>
      </c>
      <c r="K221" s="145">
        <f t="shared" si="214"/>
        <v>0</v>
      </c>
      <c r="L221" s="145">
        <f t="shared" si="215"/>
        <v>0</v>
      </c>
      <c r="M221" s="156"/>
      <c r="N221" s="156"/>
      <c r="O221" s="156"/>
      <c r="P221" s="156"/>
      <c r="Q221" s="139">
        <f t="shared" si="240"/>
        <v>0</v>
      </c>
    </row>
    <row r="222" spans="1:17" ht="12.75" hidden="1" customHeight="1">
      <c r="A222" s="176"/>
      <c r="B222" s="993" t="s">
        <v>584</v>
      </c>
      <c r="C222" s="948"/>
      <c r="D222" s="102" t="s">
        <v>585</v>
      </c>
      <c r="E222" s="103">
        <f t="shared" ref="E222:F222" si="265">SUM(E223:E226)</f>
        <v>0</v>
      </c>
      <c r="F222" s="103">
        <f t="shared" si="265"/>
        <v>0</v>
      </c>
      <c r="G222" s="104">
        <f t="shared" ref="G222:J222" si="266">SUM(G223:G226)</f>
        <v>0</v>
      </c>
      <c r="H222" s="105">
        <f t="shared" si="266"/>
        <v>0</v>
      </c>
      <c r="I222" s="146">
        <f t="shared" si="266"/>
        <v>0</v>
      </c>
      <c r="J222" s="146">
        <f t="shared" si="266"/>
        <v>0</v>
      </c>
      <c r="K222" s="145">
        <f t="shared" si="214"/>
        <v>0</v>
      </c>
      <c r="L222" s="145">
        <f t="shared" si="215"/>
        <v>0</v>
      </c>
      <c r="M222" s="11"/>
      <c r="N222" s="11"/>
      <c r="O222" s="11"/>
      <c r="P222" s="11"/>
      <c r="Q222" s="139">
        <f t="shared" si="240"/>
        <v>0</v>
      </c>
    </row>
    <row r="223" spans="1:17" ht="12.75" hidden="1" customHeight="1">
      <c r="A223" s="176"/>
      <c r="B223" s="121"/>
      <c r="C223" s="177" t="s">
        <v>576</v>
      </c>
      <c r="D223" s="178" t="s">
        <v>586</v>
      </c>
      <c r="E223" s="179">
        <f t="shared" ref="E223:F223" si="267">SUM(E533)</f>
        <v>0</v>
      </c>
      <c r="F223" s="179">
        <f t="shared" si="267"/>
        <v>0</v>
      </c>
      <c r="G223" s="180">
        <f t="shared" ref="G223" si="268">SUM(G533)</f>
        <v>0</v>
      </c>
      <c r="H223" s="181">
        <f t="shared" ref="H223:J226" si="269">SUM(H533)</f>
        <v>0</v>
      </c>
      <c r="I223" s="185">
        <f t="shared" si="269"/>
        <v>0</v>
      </c>
      <c r="J223" s="185">
        <f t="shared" si="269"/>
        <v>0</v>
      </c>
      <c r="K223" s="145">
        <f t="shared" si="214"/>
        <v>0</v>
      </c>
      <c r="L223" s="145">
        <f t="shared" si="215"/>
        <v>0</v>
      </c>
      <c r="M223" s="11"/>
      <c r="N223" s="11"/>
      <c r="O223" s="11"/>
      <c r="P223" s="11"/>
      <c r="Q223" s="139">
        <f t="shared" si="240"/>
        <v>0</v>
      </c>
    </row>
    <row r="224" spans="1:17" ht="12.75" hidden="1" customHeight="1">
      <c r="A224" s="176"/>
      <c r="B224" s="121"/>
      <c r="C224" s="177" t="s">
        <v>578</v>
      </c>
      <c r="D224" s="178" t="s">
        <v>587</v>
      </c>
      <c r="E224" s="179">
        <f t="shared" ref="E224:F226" si="270">SUM(E534)</f>
        <v>0</v>
      </c>
      <c r="F224" s="179">
        <f t="shared" si="270"/>
        <v>0</v>
      </c>
      <c r="G224" s="180">
        <f t="shared" ref="G224:G226" si="271">SUM(G534)</f>
        <v>0</v>
      </c>
      <c r="H224" s="181">
        <f t="shared" si="269"/>
        <v>0</v>
      </c>
      <c r="I224" s="185">
        <f t="shared" si="269"/>
        <v>0</v>
      </c>
      <c r="J224" s="185">
        <f t="shared" si="269"/>
        <v>0</v>
      </c>
      <c r="K224" s="145">
        <f t="shared" si="214"/>
        <v>0</v>
      </c>
      <c r="L224" s="145">
        <f t="shared" si="215"/>
        <v>0</v>
      </c>
      <c r="M224" s="5"/>
      <c r="N224" s="5"/>
      <c r="O224" s="5"/>
      <c r="P224" s="5"/>
      <c r="Q224" s="139">
        <f t="shared" si="240"/>
        <v>0</v>
      </c>
    </row>
    <row r="225" spans="1:17" ht="12.75" hidden="1" customHeight="1">
      <c r="A225" s="176"/>
      <c r="B225" s="121"/>
      <c r="C225" s="177" t="s">
        <v>580</v>
      </c>
      <c r="D225" s="178" t="s">
        <v>588</v>
      </c>
      <c r="E225" s="179">
        <f t="shared" si="270"/>
        <v>0</v>
      </c>
      <c r="F225" s="179">
        <f t="shared" si="270"/>
        <v>0</v>
      </c>
      <c r="G225" s="180">
        <f t="shared" si="271"/>
        <v>0</v>
      </c>
      <c r="H225" s="181">
        <f t="shared" si="269"/>
        <v>0</v>
      </c>
      <c r="I225" s="185">
        <f t="shared" si="269"/>
        <v>0</v>
      </c>
      <c r="J225" s="185">
        <f t="shared" si="269"/>
        <v>0</v>
      </c>
      <c r="K225" s="145">
        <f t="shared" si="214"/>
        <v>0</v>
      </c>
      <c r="L225" s="145">
        <f t="shared" si="215"/>
        <v>0</v>
      </c>
      <c r="M225" s="168"/>
      <c r="N225" s="168"/>
      <c r="O225" s="168"/>
      <c r="P225" s="168"/>
      <c r="Q225" s="139">
        <f t="shared" si="240"/>
        <v>0</v>
      </c>
    </row>
    <row r="226" spans="1:17" ht="12.75" hidden="1" customHeight="1">
      <c r="A226" s="176"/>
      <c r="B226" s="121"/>
      <c r="C226" s="177" t="s">
        <v>582</v>
      </c>
      <c r="D226" s="178" t="s">
        <v>589</v>
      </c>
      <c r="E226" s="179">
        <f t="shared" si="270"/>
        <v>0</v>
      </c>
      <c r="F226" s="179">
        <f t="shared" si="270"/>
        <v>0</v>
      </c>
      <c r="G226" s="180">
        <f t="shared" si="271"/>
        <v>0</v>
      </c>
      <c r="H226" s="181">
        <f t="shared" si="269"/>
        <v>0</v>
      </c>
      <c r="I226" s="185">
        <f t="shared" si="269"/>
        <v>0</v>
      </c>
      <c r="J226" s="185">
        <f t="shared" si="269"/>
        <v>0</v>
      </c>
      <c r="K226" s="145">
        <f t="shared" si="214"/>
        <v>0</v>
      </c>
      <c r="L226" s="145">
        <f t="shared" si="215"/>
        <v>0</v>
      </c>
      <c r="M226" s="168"/>
      <c r="N226" s="168"/>
      <c r="O226" s="168"/>
      <c r="P226" s="168"/>
      <c r="Q226" s="139">
        <f t="shared" si="240"/>
        <v>0</v>
      </c>
    </row>
    <row r="227" spans="1:17" ht="12.75" hidden="1" customHeight="1">
      <c r="A227" s="176"/>
      <c r="B227" s="993" t="s">
        <v>590</v>
      </c>
      <c r="C227" s="948"/>
      <c r="D227" s="102" t="s">
        <v>591</v>
      </c>
      <c r="E227" s="103">
        <f t="shared" ref="E227:F227" si="272">SUM(E228:E230)</f>
        <v>0</v>
      </c>
      <c r="F227" s="103">
        <f t="shared" si="272"/>
        <v>0</v>
      </c>
      <c r="G227" s="104">
        <f t="shared" ref="G227:J227" si="273">SUM(G228:G230)</f>
        <v>0</v>
      </c>
      <c r="H227" s="105">
        <f t="shared" si="273"/>
        <v>0</v>
      </c>
      <c r="I227" s="146">
        <f t="shared" si="273"/>
        <v>0</v>
      </c>
      <c r="J227" s="146">
        <f t="shared" si="273"/>
        <v>0</v>
      </c>
      <c r="K227" s="145">
        <f t="shared" si="214"/>
        <v>0</v>
      </c>
      <c r="L227" s="145">
        <f t="shared" si="215"/>
        <v>0</v>
      </c>
      <c r="M227" s="5"/>
      <c r="N227" s="5"/>
      <c r="O227" s="5"/>
      <c r="P227" s="5"/>
      <c r="Q227" s="139">
        <f t="shared" si="240"/>
        <v>0</v>
      </c>
    </row>
    <row r="228" spans="1:17" ht="12.75" hidden="1" customHeight="1">
      <c r="A228" s="176"/>
      <c r="B228" s="121"/>
      <c r="C228" s="177" t="s">
        <v>576</v>
      </c>
      <c r="D228" s="178" t="s">
        <v>592</v>
      </c>
      <c r="E228" s="179">
        <f t="shared" ref="E228:F230" si="274">SUM(E538)</f>
        <v>0</v>
      </c>
      <c r="F228" s="179">
        <f t="shared" si="274"/>
        <v>0</v>
      </c>
      <c r="G228" s="180">
        <f t="shared" ref="G228:G230" si="275">SUM(G538)</f>
        <v>0</v>
      </c>
      <c r="H228" s="181">
        <f t="shared" ref="H228:J230" si="276">SUM(H538)</f>
        <v>0</v>
      </c>
      <c r="I228" s="185">
        <f t="shared" si="276"/>
        <v>0</v>
      </c>
      <c r="J228" s="185">
        <f t="shared" si="276"/>
        <v>0</v>
      </c>
      <c r="K228" s="145">
        <f t="shared" si="214"/>
        <v>0</v>
      </c>
      <c r="L228" s="145">
        <f t="shared" si="215"/>
        <v>0</v>
      </c>
      <c r="M228" s="5"/>
      <c r="N228" s="5"/>
      <c r="O228" s="5"/>
      <c r="P228" s="5"/>
      <c r="Q228" s="139">
        <f t="shared" si="240"/>
        <v>0</v>
      </c>
    </row>
    <row r="229" spans="1:17" ht="12.75" hidden="1" customHeight="1">
      <c r="A229" s="176"/>
      <c r="B229" s="121"/>
      <c r="C229" s="177" t="s">
        <v>578</v>
      </c>
      <c r="D229" s="178" t="s">
        <v>593</v>
      </c>
      <c r="E229" s="179">
        <f t="shared" si="274"/>
        <v>0</v>
      </c>
      <c r="F229" s="179">
        <f t="shared" si="274"/>
        <v>0</v>
      </c>
      <c r="G229" s="180">
        <f t="shared" si="275"/>
        <v>0</v>
      </c>
      <c r="H229" s="181">
        <f t="shared" si="276"/>
        <v>0</v>
      </c>
      <c r="I229" s="185">
        <f t="shared" si="276"/>
        <v>0</v>
      </c>
      <c r="J229" s="185">
        <f t="shared" si="276"/>
        <v>0</v>
      </c>
      <c r="K229" s="145">
        <f t="shared" si="214"/>
        <v>0</v>
      </c>
      <c r="L229" s="145">
        <f t="shared" si="215"/>
        <v>0</v>
      </c>
      <c r="M229" s="5"/>
      <c r="N229" s="5"/>
      <c r="O229" s="5"/>
      <c r="P229" s="5"/>
      <c r="Q229" s="139">
        <f t="shared" si="240"/>
        <v>0</v>
      </c>
    </row>
    <row r="230" spans="1:17" ht="12.75" hidden="1" customHeight="1">
      <c r="A230" s="176"/>
      <c r="B230" s="121"/>
      <c r="C230" s="177" t="s">
        <v>580</v>
      </c>
      <c r="D230" s="178" t="s">
        <v>594</v>
      </c>
      <c r="E230" s="179">
        <f t="shared" si="274"/>
        <v>0</v>
      </c>
      <c r="F230" s="179">
        <f t="shared" si="274"/>
        <v>0</v>
      </c>
      <c r="G230" s="180">
        <f t="shared" si="275"/>
        <v>0</v>
      </c>
      <c r="H230" s="181">
        <f t="shared" si="276"/>
        <v>0</v>
      </c>
      <c r="I230" s="185">
        <f t="shared" si="276"/>
        <v>0</v>
      </c>
      <c r="J230" s="185">
        <f t="shared" si="276"/>
        <v>0</v>
      </c>
      <c r="K230" s="145">
        <f t="shared" si="214"/>
        <v>0</v>
      </c>
      <c r="L230" s="145">
        <f t="shared" si="215"/>
        <v>0</v>
      </c>
      <c r="M230" s="5"/>
      <c r="N230" s="5"/>
      <c r="O230" s="5"/>
      <c r="P230" s="5"/>
      <c r="Q230" s="139">
        <f t="shared" si="240"/>
        <v>0</v>
      </c>
    </row>
    <row r="231" spans="1:17" ht="12.75" hidden="1" customHeight="1">
      <c r="A231" s="176"/>
      <c r="B231" s="993" t="s">
        <v>595</v>
      </c>
      <c r="C231" s="948"/>
      <c r="D231" s="102" t="s">
        <v>596</v>
      </c>
      <c r="E231" s="103">
        <f t="shared" ref="E231:F231" si="277">SUM(E232:E234)</f>
        <v>0</v>
      </c>
      <c r="F231" s="103">
        <f t="shared" si="277"/>
        <v>0</v>
      </c>
      <c r="G231" s="104">
        <f t="shared" ref="G231:J231" si="278">SUM(G232:G234)</f>
        <v>0</v>
      </c>
      <c r="H231" s="105">
        <f t="shared" si="278"/>
        <v>0</v>
      </c>
      <c r="I231" s="146">
        <f t="shared" si="278"/>
        <v>0</v>
      </c>
      <c r="J231" s="146">
        <f t="shared" si="278"/>
        <v>0</v>
      </c>
      <c r="K231" s="145">
        <f t="shared" si="214"/>
        <v>0</v>
      </c>
      <c r="L231" s="145">
        <f t="shared" si="215"/>
        <v>0</v>
      </c>
      <c r="M231" s="58"/>
      <c r="N231" s="58"/>
      <c r="O231" s="58"/>
      <c r="P231" s="58"/>
      <c r="Q231" s="139">
        <f t="shared" si="240"/>
        <v>0</v>
      </c>
    </row>
    <row r="232" spans="1:17" ht="12.75" hidden="1" customHeight="1">
      <c r="A232" s="176"/>
      <c r="B232" s="121"/>
      <c r="C232" s="177" t="s">
        <v>576</v>
      </c>
      <c r="D232" s="178" t="s">
        <v>597</v>
      </c>
      <c r="E232" s="179">
        <f t="shared" ref="E232:F234" si="279">SUM(E542)</f>
        <v>0</v>
      </c>
      <c r="F232" s="179">
        <f t="shared" si="279"/>
        <v>0</v>
      </c>
      <c r="G232" s="180">
        <f t="shared" ref="G232:G234" si="280">SUM(G542)</f>
        <v>0</v>
      </c>
      <c r="H232" s="181">
        <f t="shared" ref="H232:J234" si="281">SUM(H542)</f>
        <v>0</v>
      </c>
      <c r="I232" s="185">
        <f t="shared" si="281"/>
        <v>0</v>
      </c>
      <c r="J232" s="185">
        <f t="shared" si="281"/>
        <v>0</v>
      </c>
      <c r="K232" s="145">
        <f t="shared" si="214"/>
        <v>0</v>
      </c>
      <c r="L232" s="145">
        <f t="shared" si="215"/>
        <v>0</v>
      </c>
      <c r="M232" s="58"/>
      <c r="N232" s="58"/>
      <c r="O232" s="58"/>
      <c r="P232" s="58"/>
      <c r="Q232" s="139">
        <f t="shared" si="240"/>
        <v>0</v>
      </c>
    </row>
    <row r="233" spans="1:17" ht="12.75" hidden="1" customHeight="1">
      <c r="A233" s="176"/>
      <c r="B233" s="121"/>
      <c r="C233" s="177" t="s">
        <v>578</v>
      </c>
      <c r="D233" s="178" t="s">
        <v>598</v>
      </c>
      <c r="E233" s="179">
        <f t="shared" si="279"/>
        <v>0</v>
      </c>
      <c r="F233" s="179">
        <f t="shared" si="279"/>
        <v>0</v>
      </c>
      <c r="G233" s="180">
        <f t="shared" si="280"/>
        <v>0</v>
      </c>
      <c r="H233" s="181">
        <f t="shared" si="281"/>
        <v>0</v>
      </c>
      <c r="I233" s="185">
        <f t="shared" si="281"/>
        <v>0</v>
      </c>
      <c r="J233" s="185">
        <f t="shared" si="281"/>
        <v>0</v>
      </c>
      <c r="K233" s="145">
        <f t="shared" si="214"/>
        <v>0</v>
      </c>
      <c r="L233" s="145">
        <f t="shared" si="215"/>
        <v>0</v>
      </c>
      <c r="M233" s="58"/>
      <c r="N233" s="58"/>
      <c r="O233" s="58"/>
      <c r="P233" s="58"/>
      <c r="Q233" s="139">
        <f t="shared" si="240"/>
        <v>0</v>
      </c>
    </row>
    <row r="234" spans="1:17" ht="12.75" hidden="1" customHeight="1">
      <c r="A234" s="176"/>
      <c r="B234" s="121"/>
      <c r="C234" s="177" t="s">
        <v>580</v>
      </c>
      <c r="D234" s="178" t="s">
        <v>599</v>
      </c>
      <c r="E234" s="179">
        <f t="shared" si="279"/>
        <v>0</v>
      </c>
      <c r="F234" s="179">
        <f t="shared" si="279"/>
        <v>0</v>
      </c>
      <c r="G234" s="180">
        <f t="shared" si="280"/>
        <v>0</v>
      </c>
      <c r="H234" s="181">
        <f t="shared" si="281"/>
        <v>0</v>
      </c>
      <c r="I234" s="185">
        <f t="shared" si="281"/>
        <v>0</v>
      </c>
      <c r="J234" s="185">
        <f t="shared" si="281"/>
        <v>0</v>
      </c>
      <c r="K234" s="145">
        <f t="shared" si="214"/>
        <v>0</v>
      </c>
      <c r="L234" s="145">
        <f t="shared" si="215"/>
        <v>0</v>
      </c>
      <c r="M234" s="5"/>
      <c r="N234" s="5"/>
      <c r="O234" s="5"/>
      <c r="P234" s="5"/>
      <c r="Q234" s="139">
        <f t="shared" si="240"/>
        <v>0</v>
      </c>
    </row>
    <row r="235" spans="1:17" ht="12.75" hidden="1" customHeight="1">
      <c r="A235" s="176"/>
      <c r="B235" s="993" t="s">
        <v>600</v>
      </c>
      <c r="C235" s="948"/>
      <c r="D235" s="102" t="s">
        <v>601</v>
      </c>
      <c r="E235" s="103">
        <f t="shared" ref="E235:F235" si="282">SUM(E236:E238)</f>
        <v>0</v>
      </c>
      <c r="F235" s="103">
        <f t="shared" si="282"/>
        <v>0</v>
      </c>
      <c r="G235" s="104">
        <f t="shared" ref="G235:J235" si="283">SUM(G236:G238)</f>
        <v>0</v>
      </c>
      <c r="H235" s="105">
        <f t="shared" si="283"/>
        <v>0</v>
      </c>
      <c r="I235" s="146">
        <f t="shared" si="283"/>
        <v>0</v>
      </c>
      <c r="J235" s="146">
        <f t="shared" si="283"/>
        <v>0</v>
      </c>
      <c r="K235" s="145">
        <f t="shared" si="214"/>
        <v>0</v>
      </c>
      <c r="L235" s="145">
        <f t="shared" si="215"/>
        <v>0</v>
      </c>
      <c r="M235" s="5"/>
      <c r="N235" s="5"/>
      <c r="O235" s="5"/>
      <c r="P235" s="5"/>
      <c r="Q235" s="139">
        <f t="shared" si="240"/>
        <v>0</v>
      </c>
    </row>
    <row r="236" spans="1:17" ht="12.75" hidden="1" customHeight="1">
      <c r="A236" s="176"/>
      <c r="B236" s="121"/>
      <c r="C236" s="177" t="s">
        <v>576</v>
      </c>
      <c r="D236" s="178" t="s">
        <v>602</v>
      </c>
      <c r="E236" s="179">
        <f t="shared" ref="E236:F238" si="284">SUM(E546)</f>
        <v>0</v>
      </c>
      <c r="F236" s="179">
        <f t="shared" si="284"/>
        <v>0</v>
      </c>
      <c r="G236" s="180">
        <f t="shared" ref="G236:G238" si="285">SUM(G546)</f>
        <v>0</v>
      </c>
      <c r="H236" s="181">
        <f t="shared" ref="H236:J238" si="286">SUM(H546)</f>
        <v>0</v>
      </c>
      <c r="I236" s="185">
        <f t="shared" si="286"/>
        <v>0</v>
      </c>
      <c r="J236" s="185">
        <f t="shared" si="286"/>
        <v>0</v>
      </c>
      <c r="K236" s="145">
        <f t="shared" si="214"/>
        <v>0</v>
      </c>
      <c r="L236" s="145">
        <f t="shared" si="215"/>
        <v>0</v>
      </c>
      <c r="M236" s="5"/>
      <c r="N236" s="5"/>
      <c r="O236" s="5"/>
      <c r="P236" s="5"/>
      <c r="Q236" s="139">
        <f t="shared" si="240"/>
        <v>0</v>
      </c>
    </row>
    <row r="237" spans="1:17" ht="12.75" hidden="1" customHeight="1">
      <c r="A237" s="176"/>
      <c r="B237" s="121"/>
      <c r="C237" s="177" t="s">
        <v>578</v>
      </c>
      <c r="D237" s="178" t="s">
        <v>603</v>
      </c>
      <c r="E237" s="179">
        <f t="shared" si="284"/>
        <v>0</v>
      </c>
      <c r="F237" s="179">
        <f t="shared" si="284"/>
        <v>0</v>
      </c>
      <c r="G237" s="180">
        <f t="shared" si="285"/>
        <v>0</v>
      </c>
      <c r="H237" s="181">
        <f t="shared" si="286"/>
        <v>0</v>
      </c>
      <c r="I237" s="185">
        <f t="shared" si="286"/>
        <v>0</v>
      </c>
      <c r="J237" s="185">
        <f t="shared" si="286"/>
        <v>0</v>
      </c>
      <c r="K237" s="145">
        <f t="shared" si="214"/>
        <v>0</v>
      </c>
      <c r="L237" s="145">
        <f t="shared" si="215"/>
        <v>0</v>
      </c>
      <c r="M237" s="5"/>
      <c r="N237" s="5"/>
      <c r="O237" s="5"/>
      <c r="P237" s="5"/>
      <c r="Q237" s="139">
        <f t="shared" si="240"/>
        <v>0</v>
      </c>
    </row>
    <row r="238" spans="1:17" ht="12.75" hidden="1" customHeight="1">
      <c r="A238" s="176"/>
      <c r="B238" s="121"/>
      <c r="C238" s="177" t="s">
        <v>580</v>
      </c>
      <c r="D238" s="178" t="s">
        <v>604</v>
      </c>
      <c r="E238" s="179">
        <f t="shared" si="284"/>
        <v>0</v>
      </c>
      <c r="F238" s="179">
        <f t="shared" si="284"/>
        <v>0</v>
      </c>
      <c r="G238" s="180">
        <f t="shared" si="285"/>
        <v>0</v>
      </c>
      <c r="H238" s="181">
        <f t="shared" si="286"/>
        <v>0</v>
      </c>
      <c r="I238" s="185">
        <f t="shared" si="286"/>
        <v>0</v>
      </c>
      <c r="J238" s="185">
        <f t="shared" si="286"/>
        <v>0</v>
      </c>
      <c r="K238" s="145">
        <f t="shared" si="214"/>
        <v>0</v>
      </c>
      <c r="L238" s="145">
        <f t="shared" si="215"/>
        <v>0</v>
      </c>
      <c r="M238" s="5"/>
      <c r="N238" s="5"/>
      <c r="O238" s="5"/>
      <c r="P238" s="5"/>
      <c r="Q238" s="139">
        <f t="shared" si="240"/>
        <v>0</v>
      </c>
    </row>
    <row r="239" spans="1:17" ht="12.75" hidden="1" customHeight="1">
      <c r="A239" s="176"/>
      <c r="B239" s="993" t="s">
        <v>605</v>
      </c>
      <c r="C239" s="948"/>
      <c r="D239" s="102" t="s">
        <v>606</v>
      </c>
      <c r="E239" s="103">
        <f t="shared" ref="E239:F239" si="287">SUM(E240:E242)</f>
        <v>0</v>
      </c>
      <c r="F239" s="103">
        <f t="shared" si="287"/>
        <v>0</v>
      </c>
      <c r="G239" s="104">
        <f t="shared" ref="G239:J239" si="288">SUM(G240:G242)</f>
        <v>0</v>
      </c>
      <c r="H239" s="105">
        <f t="shared" si="288"/>
        <v>0</v>
      </c>
      <c r="I239" s="146">
        <f t="shared" si="288"/>
        <v>0</v>
      </c>
      <c r="J239" s="146">
        <f t="shared" si="288"/>
        <v>0</v>
      </c>
      <c r="K239" s="145">
        <f t="shared" si="214"/>
        <v>0</v>
      </c>
      <c r="L239" s="145">
        <f t="shared" si="215"/>
        <v>0</v>
      </c>
      <c r="M239" s="5"/>
      <c r="N239" s="5"/>
      <c r="O239" s="5"/>
      <c r="P239" s="5"/>
      <c r="Q239" s="139">
        <f t="shared" si="240"/>
        <v>0</v>
      </c>
    </row>
    <row r="240" spans="1:17" ht="12.75" hidden="1" customHeight="1">
      <c r="A240" s="176"/>
      <c r="B240" s="121"/>
      <c r="C240" s="177" t="s">
        <v>576</v>
      </c>
      <c r="D240" s="178" t="s">
        <v>607</v>
      </c>
      <c r="E240" s="179">
        <f t="shared" ref="E240:F242" si="289">SUM(E550)</f>
        <v>0</v>
      </c>
      <c r="F240" s="179">
        <f t="shared" si="289"/>
        <v>0</v>
      </c>
      <c r="G240" s="180">
        <f t="shared" ref="G240:G242" si="290">SUM(G550)</f>
        <v>0</v>
      </c>
      <c r="H240" s="181">
        <f t="shared" ref="H240:J242" si="291">SUM(H550)</f>
        <v>0</v>
      </c>
      <c r="I240" s="185">
        <f t="shared" si="291"/>
        <v>0</v>
      </c>
      <c r="J240" s="185">
        <f t="shared" si="291"/>
        <v>0</v>
      </c>
      <c r="K240" s="145">
        <f t="shared" si="214"/>
        <v>0</v>
      </c>
      <c r="L240" s="145">
        <f t="shared" si="215"/>
        <v>0</v>
      </c>
      <c r="M240" s="5"/>
      <c r="N240" s="5"/>
      <c r="O240" s="5"/>
      <c r="P240" s="5"/>
      <c r="Q240" s="139">
        <f t="shared" si="240"/>
        <v>0</v>
      </c>
    </row>
    <row r="241" spans="1:17" ht="12.75" hidden="1" customHeight="1">
      <c r="A241" s="176"/>
      <c r="B241" s="121"/>
      <c r="C241" s="177" t="s">
        <v>578</v>
      </c>
      <c r="D241" s="178" t="s">
        <v>608</v>
      </c>
      <c r="E241" s="179">
        <f t="shared" si="289"/>
        <v>0</v>
      </c>
      <c r="F241" s="179">
        <f t="shared" si="289"/>
        <v>0</v>
      </c>
      <c r="G241" s="180">
        <f t="shared" si="290"/>
        <v>0</v>
      </c>
      <c r="H241" s="181">
        <f t="shared" si="291"/>
        <v>0</v>
      </c>
      <c r="I241" s="185">
        <f t="shared" si="291"/>
        <v>0</v>
      </c>
      <c r="J241" s="185">
        <f t="shared" si="291"/>
        <v>0</v>
      </c>
      <c r="K241" s="145">
        <f t="shared" si="214"/>
        <v>0</v>
      </c>
      <c r="L241" s="145">
        <f t="shared" si="215"/>
        <v>0</v>
      </c>
      <c r="M241" s="5"/>
      <c r="N241" s="5"/>
      <c r="O241" s="5"/>
      <c r="P241" s="5"/>
      <c r="Q241" s="139">
        <f t="shared" si="240"/>
        <v>0</v>
      </c>
    </row>
    <row r="242" spans="1:17" ht="12.75" hidden="1" customHeight="1">
      <c r="A242" s="176"/>
      <c r="B242" s="121"/>
      <c r="C242" s="177" t="s">
        <v>580</v>
      </c>
      <c r="D242" s="178" t="s">
        <v>609</v>
      </c>
      <c r="E242" s="179">
        <f t="shared" si="289"/>
        <v>0</v>
      </c>
      <c r="F242" s="179">
        <f t="shared" si="289"/>
        <v>0</v>
      </c>
      <c r="G242" s="180">
        <f t="shared" si="290"/>
        <v>0</v>
      </c>
      <c r="H242" s="181">
        <f t="shared" si="291"/>
        <v>0</v>
      </c>
      <c r="I242" s="185">
        <f t="shared" si="291"/>
        <v>0</v>
      </c>
      <c r="J242" s="185">
        <f t="shared" si="291"/>
        <v>0</v>
      </c>
      <c r="K242" s="145">
        <f t="shared" si="214"/>
        <v>0</v>
      </c>
      <c r="L242" s="145">
        <f t="shared" si="215"/>
        <v>0</v>
      </c>
      <c r="M242" s="5"/>
      <c r="N242" s="5"/>
      <c r="O242" s="5"/>
      <c r="P242" s="5"/>
      <c r="Q242" s="139">
        <f t="shared" si="240"/>
        <v>0</v>
      </c>
    </row>
    <row r="243" spans="1:17" ht="12.75" hidden="1" customHeight="1">
      <c r="A243" s="176"/>
      <c r="B243" s="993" t="s">
        <v>610</v>
      </c>
      <c r="C243" s="948"/>
      <c r="D243" s="102" t="s">
        <v>611</v>
      </c>
      <c r="E243" s="103">
        <f t="shared" ref="E243:F243" si="292">SUM(E244:E247)</f>
        <v>0</v>
      </c>
      <c r="F243" s="103">
        <f t="shared" si="292"/>
        <v>0</v>
      </c>
      <c r="G243" s="104">
        <f t="shared" ref="G243:J243" si="293">SUM(G244:G247)</f>
        <v>0</v>
      </c>
      <c r="H243" s="105">
        <f t="shared" si="293"/>
        <v>0</v>
      </c>
      <c r="I243" s="146">
        <f t="shared" si="293"/>
        <v>0</v>
      </c>
      <c r="J243" s="146">
        <f t="shared" si="293"/>
        <v>0</v>
      </c>
      <c r="K243" s="145">
        <f t="shared" si="214"/>
        <v>0</v>
      </c>
      <c r="L243" s="145">
        <f t="shared" si="215"/>
        <v>0</v>
      </c>
      <c r="M243" s="5"/>
      <c r="N243" s="5"/>
      <c r="O243" s="5"/>
      <c r="P243" s="5"/>
      <c r="Q243" s="139">
        <f t="shared" si="240"/>
        <v>0</v>
      </c>
    </row>
    <row r="244" spans="1:17" ht="12.75" hidden="1" customHeight="1">
      <c r="A244" s="176"/>
      <c r="B244" s="121"/>
      <c r="C244" s="177" t="s">
        <v>576</v>
      </c>
      <c r="D244" s="178" t="s">
        <v>612</v>
      </c>
      <c r="E244" s="179">
        <f t="shared" ref="E244:F244" si="294">SUM(E554)</f>
        <v>0</v>
      </c>
      <c r="F244" s="179">
        <f t="shared" si="294"/>
        <v>0</v>
      </c>
      <c r="G244" s="180">
        <f t="shared" ref="G244" si="295">SUM(G554)</f>
        <v>0</v>
      </c>
      <c r="H244" s="181">
        <f t="shared" ref="H244:J247" si="296">SUM(H554)</f>
        <v>0</v>
      </c>
      <c r="I244" s="185">
        <f t="shared" si="296"/>
        <v>0</v>
      </c>
      <c r="J244" s="185">
        <f t="shared" si="296"/>
        <v>0</v>
      </c>
      <c r="K244" s="145">
        <f t="shared" si="214"/>
        <v>0</v>
      </c>
      <c r="L244" s="145">
        <f t="shared" si="215"/>
        <v>0</v>
      </c>
      <c r="M244" s="5"/>
      <c r="N244" s="5"/>
      <c r="O244" s="5"/>
      <c r="P244" s="5"/>
      <c r="Q244" s="139">
        <f t="shared" si="240"/>
        <v>0</v>
      </c>
    </row>
    <row r="245" spans="1:17" ht="12.75" hidden="1" customHeight="1">
      <c r="A245" s="176"/>
      <c r="B245" s="121"/>
      <c r="C245" s="177" t="s">
        <v>578</v>
      </c>
      <c r="D245" s="178" t="s">
        <v>613</v>
      </c>
      <c r="E245" s="179">
        <f t="shared" ref="E245:F247" si="297">SUM(E555)</f>
        <v>0</v>
      </c>
      <c r="F245" s="179">
        <f t="shared" si="297"/>
        <v>0</v>
      </c>
      <c r="G245" s="180">
        <f t="shared" ref="G245:G247" si="298">SUM(G555)</f>
        <v>0</v>
      </c>
      <c r="H245" s="181">
        <f t="shared" si="296"/>
        <v>0</v>
      </c>
      <c r="I245" s="185">
        <f t="shared" si="296"/>
        <v>0</v>
      </c>
      <c r="J245" s="185">
        <f t="shared" si="296"/>
        <v>0</v>
      </c>
      <c r="K245" s="145">
        <f t="shared" si="214"/>
        <v>0</v>
      </c>
      <c r="L245" s="145">
        <f t="shared" si="215"/>
        <v>0</v>
      </c>
      <c r="M245" s="5"/>
      <c r="N245" s="5"/>
      <c r="O245" s="5"/>
      <c r="P245" s="5"/>
      <c r="Q245" s="139">
        <f t="shared" si="240"/>
        <v>0</v>
      </c>
    </row>
    <row r="246" spans="1:17" ht="12.75" hidden="1" customHeight="1">
      <c r="A246" s="176"/>
      <c r="B246" s="121"/>
      <c r="C246" s="177" t="s">
        <v>580</v>
      </c>
      <c r="D246" s="178" t="s">
        <v>614</v>
      </c>
      <c r="E246" s="179">
        <f t="shared" si="297"/>
        <v>0</v>
      </c>
      <c r="F246" s="179">
        <f t="shared" si="297"/>
        <v>0</v>
      </c>
      <c r="G246" s="180">
        <f t="shared" si="298"/>
        <v>0</v>
      </c>
      <c r="H246" s="181">
        <f t="shared" si="296"/>
        <v>0</v>
      </c>
      <c r="I246" s="185">
        <f t="shared" si="296"/>
        <v>0</v>
      </c>
      <c r="J246" s="185">
        <f t="shared" si="296"/>
        <v>0</v>
      </c>
      <c r="K246" s="145">
        <f t="shared" si="214"/>
        <v>0</v>
      </c>
      <c r="L246" s="145">
        <f t="shared" si="215"/>
        <v>0</v>
      </c>
      <c r="M246" s="5"/>
      <c r="N246" s="5"/>
      <c r="O246" s="5"/>
      <c r="P246" s="5"/>
      <c r="Q246" s="139">
        <f t="shared" si="240"/>
        <v>0</v>
      </c>
    </row>
    <row r="247" spans="1:17" ht="12.75" hidden="1" customHeight="1">
      <c r="A247" s="176"/>
      <c r="B247" s="121"/>
      <c r="C247" s="177" t="s">
        <v>582</v>
      </c>
      <c r="D247" s="178" t="s">
        <v>615</v>
      </c>
      <c r="E247" s="179">
        <f t="shared" si="297"/>
        <v>0</v>
      </c>
      <c r="F247" s="179">
        <f t="shared" si="297"/>
        <v>0</v>
      </c>
      <c r="G247" s="180">
        <f t="shared" si="298"/>
        <v>0</v>
      </c>
      <c r="H247" s="181">
        <f t="shared" si="296"/>
        <v>0</v>
      </c>
      <c r="I247" s="185">
        <f t="shared" si="296"/>
        <v>0</v>
      </c>
      <c r="J247" s="185">
        <f t="shared" si="296"/>
        <v>0</v>
      </c>
      <c r="K247" s="145">
        <f t="shared" si="214"/>
        <v>0</v>
      </c>
      <c r="L247" s="145">
        <f t="shared" si="215"/>
        <v>0</v>
      </c>
      <c r="M247" s="5"/>
      <c r="N247" s="5"/>
      <c r="O247" s="5"/>
      <c r="P247" s="5"/>
      <c r="Q247" s="139">
        <f t="shared" si="240"/>
        <v>0</v>
      </c>
    </row>
    <row r="248" spans="1:17" ht="12.75" hidden="1" customHeight="1">
      <c r="A248" s="176"/>
      <c r="B248" s="993" t="s">
        <v>616</v>
      </c>
      <c r="C248" s="948"/>
      <c r="D248" s="102" t="s">
        <v>617</v>
      </c>
      <c r="E248" s="103">
        <f t="shared" ref="E248:F248" si="299">SUM(E249:E251)</f>
        <v>0</v>
      </c>
      <c r="F248" s="103">
        <f t="shared" si="299"/>
        <v>0</v>
      </c>
      <c r="G248" s="104">
        <f t="shared" ref="G248:J248" si="300">SUM(G249:G251)</f>
        <v>0</v>
      </c>
      <c r="H248" s="105">
        <f t="shared" si="300"/>
        <v>0</v>
      </c>
      <c r="I248" s="146">
        <f t="shared" si="300"/>
        <v>0</v>
      </c>
      <c r="J248" s="146">
        <f t="shared" si="300"/>
        <v>0</v>
      </c>
      <c r="K248" s="145">
        <f t="shared" si="214"/>
        <v>0</v>
      </c>
      <c r="L248" s="145">
        <f t="shared" si="215"/>
        <v>0</v>
      </c>
      <c r="M248" s="5"/>
      <c r="N248" s="5"/>
      <c r="O248" s="5"/>
      <c r="P248" s="5"/>
      <c r="Q248" s="139">
        <f t="shared" si="240"/>
        <v>0</v>
      </c>
    </row>
    <row r="249" spans="1:17" ht="12.75" hidden="1" customHeight="1">
      <c r="A249" s="176"/>
      <c r="B249" s="121"/>
      <c r="C249" s="177" t="s">
        <v>576</v>
      </c>
      <c r="D249" s="178" t="s">
        <v>618</v>
      </c>
      <c r="E249" s="179">
        <f t="shared" ref="E249:F251" si="301">SUM(E559)</f>
        <v>0</v>
      </c>
      <c r="F249" s="179">
        <f t="shared" si="301"/>
        <v>0</v>
      </c>
      <c r="G249" s="180">
        <f t="shared" ref="G249:G251" si="302">SUM(G559)</f>
        <v>0</v>
      </c>
      <c r="H249" s="181">
        <f t="shared" ref="H249:J251" si="303">SUM(H559)</f>
        <v>0</v>
      </c>
      <c r="I249" s="185">
        <f t="shared" si="303"/>
        <v>0</v>
      </c>
      <c r="J249" s="185">
        <f t="shared" si="303"/>
        <v>0</v>
      </c>
      <c r="K249" s="145">
        <f t="shared" si="214"/>
        <v>0</v>
      </c>
      <c r="L249" s="145">
        <f t="shared" si="215"/>
        <v>0</v>
      </c>
      <c r="M249" s="5"/>
      <c r="N249" s="5"/>
      <c r="O249" s="5"/>
      <c r="P249" s="5"/>
      <c r="Q249" s="139">
        <f t="shared" si="240"/>
        <v>0</v>
      </c>
    </row>
    <row r="250" spans="1:17" ht="12.75" hidden="1" customHeight="1">
      <c r="A250" s="176"/>
      <c r="B250" s="121"/>
      <c r="C250" s="177" t="s">
        <v>578</v>
      </c>
      <c r="D250" s="178" t="s">
        <v>619</v>
      </c>
      <c r="E250" s="179">
        <f t="shared" si="301"/>
        <v>0</v>
      </c>
      <c r="F250" s="179">
        <f t="shared" si="301"/>
        <v>0</v>
      </c>
      <c r="G250" s="180">
        <f t="shared" si="302"/>
        <v>0</v>
      </c>
      <c r="H250" s="181">
        <f t="shared" si="303"/>
        <v>0</v>
      </c>
      <c r="I250" s="185">
        <f t="shared" si="303"/>
        <v>0</v>
      </c>
      <c r="J250" s="185">
        <f t="shared" si="303"/>
        <v>0</v>
      </c>
      <c r="K250" s="145">
        <f t="shared" si="214"/>
        <v>0</v>
      </c>
      <c r="L250" s="145">
        <f t="shared" si="215"/>
        <v>0</v>
      </c>
      <c r="M250" s="5"/>
      <c r="N250" s="5"/>
      <c r="O250" s="5"/>
      <c r="P250" s="5"/>
      <c r="Q250" s="139">
        <f t="shared" si="240"/>
        <v>0</v>
      </c>
    </row>
    <row r="251" spans="1:17" ht="12.75" hidden="1" customHeight="1">
      <c r="A251" s="176"/>
      <c r="B251" s="121"/>
      <c r="C251" s="177" t="s">
        <v>580</v>
      </c>
      <c r="D251" s="178" t="s">
        <v>620</v>
      </c>
      <c r="E251" s="179">
        <f t="shared" si="301"/>
        <v>0</v>
      </c>
      <c r="F251" s="179">
        <f t="shared" si="301"/>
        <v>0</v>
      </c>
      <c r="G251" s="180">
        <f t="shared" si="302"/>
        <v>0</v>
      </c>
      <c r="H251" s="181">
        <f t="shared" si="303"/>
        <v>0</v>
      </c>
      <c r="I251" s="185">
        <f t="shared" si="303"/>
        <v>0</v>
      </c>
      <c r="J251" s="185">
        <f t="shared" si="303"/>
        <v>0</v>
      </c>
      <c r="K251" s="145">
        <f t="shared" si="214"/>
        <v>0</v>
      </c>
      <c r="L251" s="145">
        <f t="shared" si="215"/>
        <v>0</v>
      </c>
      <c r="M251" s="5"/>
      <c r="N251" s="5"/>
      <c r="O251" s="5"/>
      <c r="P251" s="5"/>
      <c r="Q251" s="139">
        <f t="shared" si="240"/>
        <v>0</v>
      </c>
    </row>
    <row r="252" spans="1:17" ht="25.5" customHeight="1">
      <c r="A252" s="176"/>
      <c r="B252" s="993" t="s">
        <v>621</v>
      </c>
      <c r="C252" s="999"/>
      <c r="D252" s="102" t="s">
        <v>622</v>
      </c>
      <c r="E252" s="103">
        <f t="shared" ref="E252:F252" si="304">SUM(E253:E255)</f>
        <v>109191.55</v>
      </c>
      <c r="F252" s="103">
        <f t="shared" si="304"/>
        <v>0</v>
      </c>
      <c r="G252" s="104">
        <f t="shared" ref="G252:J252" si="305">SUM(G253:G255)</f>
        <v>109191.55</v>
      </c>
      <c r="H252" s="105">
        <f t="shared" si="305"/>
        <v>0</v>
      </c>
      <c r="I252" s="146">
        <f t="shared" si="305"/>
        <v>0</v>
      </c>
      <c r="J252" s="146">
        <f t="shared" si="305"/>
        <v>0</v>
      </c>
      <c r="K252" s="145">
        <f t="shared" si="214"/>
        <v>218383.1</v>
      </c>
      <c r="L252" s="145">
        <f t="shared" si="215"/>
        <v>109191.55</v>
      </c>
      <c r="M252" s="5"/>
      <c r="N252" s="5"/>
      <c r="O252" s="5"/>
      <c r="P252" s="5"/>
      <c r="Q252" s="139">
        <f t="shared" si="240"/>
        <v>0</v>
      </c>
    </row>
    <row r="253" spans="1:17" ht="12.75">
      <c r="A253" s="176"/>
      <c r="B253" s="121"/>
      <c r="C253" s="177" t="s">
        <v>576</v>
      </c>
      <c r="D253" s="178" t="s">
        <v>623</v>
      </c>
      <c r="E253" s="179">
        <f t="shared" ref="E253:F255" si="306">SUM(E563)</f>
        <v>1583.0500000000002</v>
      </c>
      <c r="F253" s="179">
        <f t="shared" si="306"/>
        <v>0</v>
      </c>
      <c r="G253" s="180">
        <f t="shared" ref="G253:G255" si="307">SUM(G563)</f>
        <v>1583.0500000000002</v>
      </c>
      <c r="H253" s="181">
        <f t="shared" ref="H253:J255" si="308">SUM(H563)</f>
        <v>0</v>
      </c>
      <c r="I253" s="185">
        <f t="shared" si="308"/>
        <v>0</v>
      </c>
      <c r="J253" s="185">
        <f t="shared" si="308"/>
        <v>0</v>
      </c>
      <c r="K253" s="145">
        <f t="shared" si="214"/>
        <v>3166.1000000000004</v>
      </c>
      <c r="L253" s="145">
        <f t="shared" si="215"/>
        <v>1583.0500000000002</v>
      </c>
      <c r="M253" s="5"/>
      <c r="N253" s="5"/>
      <c r="O253" s="5"/>
      <c r="P253" s="5"/>
      <c r="Q253" s="139">
        <f t="shared" si="240"/>
        <v>0</v>
      </c>
    </row>
    <row r="254" spans="1:17" ht="12.75" hidden="1" customHeight="1">
      <c r="A254" s="176"/>
      <c r="B254" s="121"/>
      <c r="C254" s="177" t="s">
        <v>578</v>
      </c>
      <c r="D254" s="178" t="s">
        <v>624</v>
      </c>
      <c r="E254" s="179">
        <f t="shared" si="306"/>
        <v>0</v>
      </c>
      <c r="F254" s="179">
        <f t="shared" si="306"/>
        <v>0</v>
      </c>
      <c r="G254" s="180">
        <f t="shared" si="307"/>
        <v>0</v>
      </c>
      <c r="H254" s="181">
        <f t="shared" si="308"/>
        <v>0</v>
      </c>
      <c r="I254" s="185">
        <f t="shared" si="308"/>
        <v>0</v>
      </c>
      <c r="J254" s="185">
        <f t="shared" si="308"/>
        <v>0</v>
      </c>
      <c r="K254" s="145">
        <f t="shared" si="214"/>
        <v>0</v>
      </c>
      <c r="L254" s="145">
        <f t="shared" si="215"/>
        <v>0</v>
      </c>
      <c r="M254" s="5"/>
      <c r="N254" s="5"/>
      <c r="O254" s="5"/>
      <c r="P254" s="5"/>
      <c r="Q254" s="139">
        <f t="shared" si="240"/>
        <v>0</v>
      </c>
    </row>
    <row r="255" spans="1:17" ht="12.75" customHeight="1">
      <c r="A255" s="176"/>
      <c r="B255" s="121"/>
      <c r="C255" s="177" t="s">
        <v>580</v>
      </c>
      <c r="D255" s="178" t="s">
        <v>625</v>
      </c>
      <c r="E255" s="179">
        <f t="shared" si="306"/>
        <v>107608.5</v>
      </c>
      <c r="F255" s="179">
        <f t="shared" si="306"/>
        <v>0</v>
      </c>
      <c r="G255" s="180">
        <f t="shared" si="307"/>
        <v>107608.5</v>
      </c>
      <c r="H255" s="181">
        <f t="shared" si="308"/>
        <v>0</v>
      </c>
      <c r="I255" s="185">
        <f t="shared" si="308"/>
        <v>0</v>
      </c>
      <c r="J255" s="185">
        <f t="shared" si="308"/>
        <v>0</v>
      </c>
      <c r="K255" s="145">
        <f t="shared" si="214"/>
        <v>215217</v>
      </c>
      <c r="L255" s="145">
        <f t="shared" si="215"/>
        <v>107608.5</v>
      </c>
      <c r="M255" s="5"/>
      <c r="N255" s="5"/>
      <c r="O255" s="5"/>
      <c r="P255" s="5"/>
      <c r="Q255" s="139">
        <f t="shared" si="240"/>
        <v>0</v>
      </c>
    </row>
    <row r="256" spans="1:17" ht="25.5" customHeight="1">
      <c r="A256" s="176"/>
      <c r="B256" s="993" t="s">
        <v>626</v>
      </c>
      <c r="C256" s="999"/>
      <c r="D256" s="102" t="s">
        <v>627</v>
      </c>
      <c r="E256" s="103">
        <f t="shared" ref="E256:F256" si="309">SUM(E257:E259)</f>
        <v>839</v>
      </c>
      <c r="F256" s="103">
        <f t="shared" si="309"/>
        <v>0</v>
      </c>
      <c r="G256" s="104">
        <f t="shared" ref="G256:J256" si="310">SUM(G257:G259)</f>
        <v>839</v>
      </c>
      <c r="H256" s="105">
        <f t="shared" si="310"/>
        <v>0</v>
      </c>
      <c r="I256" s="146">
        <f t="shared" si="310"/>
        <v>0</v>
      </c>
      <c r="J256" s="146">
        <f t="shared" si="310"/>
        <v>0</v>
      </c>
      <c r="K256" s="145">
        <f t="shared" si="214"/>
        <v>1678</v>
      </c>
      <c r="L256" s="145">
        <f t="shared" si="215"/>
        <v>839</v>
      </c>
      <c r="M256" s="5"/>
      <c r="N256" s="5"/>
      <c r="O256" s="5"/>
      <c r="P256" s="5"/>
      <c r="Q256" s="139">
        <f t="shared" si="240"/>
        <v>0</v>
      </c>
    </row>
    <row r="257" spans="1:17" ht="12.75" hidden="1" customHeight="1">
      <c r="A257" s="176"/>
      <c r="B257" s="121"/>
      <c r="C257" s="177" t="s">
        <v>576</v>
      </c>
      <c r="D257" s="178" t="s">
        <v>628</v>
      </c>
      <c r="E257" s="179">
        <f t="shared" ref="E257:F259" si="311">SUM(E567)</f>
        <v>0</v>
      </c>
      <c r="F257" s="179">
        <f t="shared" si="311"/>
        <v>0</v>
      </c>
      <c r="G257" s="180">
        <f t="shared" ref="G257:G259" si="312">SUM(G567)</f>
        <v>0</v>
      </c>
      <c r="H257" s="181">
        <f t="shared" ref="H257:J259" si="313">SUM(H567)</f>
        <v>0</v>
      </c>
      <c r="I257" s="185">
        <f t="shared" si="313"/>
        <v>0</v>
      </c>
      <c r="J257" s="185">
        <f t="shared" si="313"/>
        <v>0</v>
      </c>
      <c r="K257" s="145">
        <f t="shared" si="214"/>
        <v>0</v>
      </c>
      <c r="L257" s="145">
        <f t="shared" si="215"/>
        <v>0</v>
      </c>
      <c r="M257" s="5"/>
      <c r="N257" s="5"/>
      <c r="O257" s="5"/>
      <c r="P257" s="5"/>
      <c r="Q257" s="139">
        <f t="shared" si="240"/>
        <v>0</v>
      </c>
    </row>
    <row r="258" spans="1:17" ht="12.75" customHeight="1">
      <c r="A258" s="176"/>
      <c r="B258" s="121"/>
      <c r="C258" s="177" t="s">
        <v>578</v>
      </c>
      <c r="D258" s="178" t="s">
        <v>629</v>
      </c>
      <c r="E258" s="179">
        <f t="shared" si="311"/>
        <v>839</v>
      </c>
      <c r="F258" s="179">
        <f t="shared" si="311"/>
        <v>0</v>
      </c>
      <c r="G258" s="180">
        <f t="shared" si="312"/>
        <v>839</v>
      </c>
      <c r="H258" s="181">
        <f t="shared" si="313"/>
        <v>0</v>
      </c>
      <c r="I258" s="185">
        <f t="shared" si="313"/>
        <v>0</v>
      </c>
      <c r="J258" s="185">
        <f t="shared" si="313"/>
        <v>0</v>
      </c>
      <c r="K258" s="145">
        <f t="shared" si="214"/>
        <v>1678</v>
      </c>
      <c r="L258" s="145">
        <f t="shared" si="215"/>
        <v>839</v>
      </c>
      <c r="M258" s="5"/>
      <c r="N258" s="5"/>
      <c r="O258" s="5"/>
      <c r="P258" s="5"/>
      <c r="Q258" s="139">
        <f t="shared" si="240"/>
        <v>0</v>
      </c>
    </row>
    <row r="259" spans="1:17" ht="12.75" hidden="1" customHeight="1">
      <c r="A259" s="176"/>
      <c r="B259" s="121"/>
      <c r="C259" s="177" t="s">
        <v>630</v>
      </c>
      <c r="D259" s="178" t="s">
        <v>631</v>
      </c>
      <c r="E259" s="179">
        <f t="shared" si="311"/>
        <v>0</v>
      </c>
      <c r="F259" s="179">
        <f t="shared" si="311"/>
        <v>0</v>
      </c>
      <c r="G259" s="180">
        <f t="shared" si="312"/>
        <v>0</v>
      </c>
      <c r="H259" s="181">
        <f t="shared" si="313"/>
        <v>0</v>
      </c>
      <c r="I259" s="185">
        <f t="shared" si="313"/>
        <v>0</v>
      </c>
      <c r="J259" s="185">
        <f t="shared" si="313"/>
        <v>0</v>
      </c>
      <c r="K259" s="145">
        <f t="shared" si="214"/>
        <v>0</v>
      </c>
      <c r="L259" s="145">
        <f t="shared" si="215"/>
        <v>0</v>
      </c>
      <c r="M259" s="5"/>
      <c r="N259" s="5"/>
      <c r="O259" s="5"/>
      <c r="P259" s="5"/>
      <c r="Q259" s="139">
        <f t="shared" si="240"/>
        <v>0</v>
      </c>
    </row>
    <row r="260" spans="1:17" ht="27" customHeight="1">
      <c r="A260" s="176"/>
      <c r="B260" s="993" t="s">
        <v>632</v>
      </c>
      <c r="C260" s="948"/>
      <c r="D260" s="102" t="s">
        <v>633</v>
      </c>
      <c r="E260" s="103">
        <f t="shared" ref="E260:F260" si="314">SUM(E261:E263)</f>
        <v>200</v>
      </c>
      <c r="F260" s="103">
        <f t="shared" si="314"/>
        <v>0</v>
      </c>
      <c r="G260" s="104">
        <f t="shared" ref="G260:J260" si="315">SUM(G261:G263)</f>
        <v>200</v>
      </c>
      <c r="H260" s="105">
        <f t="shared" si="315"/>
        <v>0</v>
      </c>
      <c r="I260" s="146">
        <f t="shared" si="315"/>
        <v>0</v>
      </c>
      <c r="J260" s="146">
        <f t="shared" si="315"/>
        <v>0</v>
      </c>
      <c r="K260" s="145">
        <f t="shared" si="214"/>
        <v>400</v>
      </c>
      <c r="L260" s="145">
        <f t="shared" si="215"/>
        <v>200</v>
      </c>
      <c r="M260" s="5"/>
      <c r="N260" s="5"/>
      <c r="O260" s="5"/>
      <c r="P260" s="5"/>
      <c r="Q260" s="139">
        <f t="shared" si="240"/>
        <v>0</v>
      </c>
    </row>
    <row r="261" spans="1:17" ht="12.75" hidden="1" customHeight="1">
      <c r="A261" s="176"/>
      <c r="B261" s="121"/>
      <c r="C261" s="177" t="s">
        <v>576</v>
      </c>
      <c r="D261" s="178" t="s">
        <v>634</v>
      </c>
      <c r="E261" s="179">
        <f t="shared" ref="E261:F263" si="316">SUM(E571)</f>
        <v>0</v>
      </c>
      <c r="F261" s="179">
        <f t="shared" si="316"/>
        <v>0</v>
      </c>
      <c r="G261" s="180">
        <f t="shared" ref="G261:G263" si="317">SUM(G571)</f>
        <v>0</v>
      </c>
      <c r="H261" s="181">
        <f t="shared" ref="H261:J263" si="318">SUM(H571)</f>
        <v>0</v>
      </c>
      <c r="I261" s="185">
        <f t="shared" si="318"/>
        <v>0</v>
      </c>
      <c r="J261" s="185">
        <f t="shared" si="318"/>
        <v>0</v>
      </c>
      <c r="K261" s="145">
        <f t="shared" si="214"/>
        <v>0</v>
      </c>
      <c r="L261" s="145">
        <f t="shared" si="215"/>
        <v>0</v>
      </c>
      <c r="M261" s="5"/>
      <c r="N261" s="5"/>
      <c r="O261" s="5"/>
      <c r="P261" s="5"/>
      <c r="Q261" s="139">
        <f t="shared" si="240"/>
        <v>0</v>
      </c>
    </row>
    <row r="262" spans="1:17" ht="12.75" hidden="1" customHeight="1">
      <c r="A262" s="176"/>
      <c r="B262" s="121"/>
      <c r="C262" s="177" t="s">
        <v>578</v>
      </c>
      <c r="D262" s="178" t="s">
        <v>635</v>
      </c>
      <c r="E262" s="179">
        <f t="shared" si="316"/>
        <v>0</v>
      </c>
      <c r="F262" s="179">
        <f t="shared" si="316"/>
        <v>0</v>
      </c>
      <c r="G262" s="180">
        <f t="shared" si="317"/>
        <v>0</v>
      </c>
      <c r="H262" s="181">
        <f t="shared" si="318"/>
        <v>0</v>
      </c>
      <c r="I262" s="185">
        <f t="shared" si="318"/>
        <v>0</v>
      </c>
      <c r="J262" s="185">
        <f t="shared" si="318"/>
        <v>0</v>
      </c>
      <c r="K262" s="145">
        <f t="shared" si="214"/>
        <v>0</v>
      </c>
      <c r="L262" s="145">
        <f t="shared" si="215"/>
        <v>0</v>
      </c>
      <c r="M262" s="5"/>
      <c r="N262" s="5"/>
      <c r="O262" s="5"/>
      <c r="P262" s="5"/>
      <c r="Q262" s="139">
        <f t="shared" si="240"/>
        <v>0</v>
      </c>
    </row>
    <row r="263" spans="1:17" ht="12.75" customHeight="1">
      <c r="A263" s="176"/>
      <c r="B263" s="121"/>
      <c r="C263" s="177" t="s">
        <v>630</v>
      </c>
      <c r="D263" s="178" t="s">
        <v>636</v>
      </c>
      <c r="E263" s="179">
        <f t="shared" si="316"/>
        <v>200</v>
      </c>
      <c r="F263" s="179">
        <f t="shared" si="316"/>
        <v>0</v>
      </c>
      <c r="G263" s="180">
        <f t="shared" si="317"/>
        <v>200</v>
      </c>
      <c r="H263" s="181">
        <f t="shared" si="318"/>
        <v>0</v>
      </c>
      <c r="I263" s="185">
        <f t="shared" si="318"/>
        <v>0</v>
      </c>
      <c r="J263" s="185">
        <f t="shared" si="318"/>
        <v>0</v>
      </c>
      <c r="K263" s="145">
        <f t="shared" si="214"/>
        <v>400</v>
      </c>
      <c r="L263" s="145">
        <f t="shared" si="215"/>
        <v>200</v>
      </c>
      <c r="M263" s="5"/>
      <c r="N263" s="5"/>
      <c r="O263" s="5"/>
      <c r="P263" s="5"/>
      <c r="Q263" s="139">
        <f t="shared" si="240"/>
        <v>0</v>
      </c>
    </row>
    <row r="264" spans="1:17" ht="25.5" hidden="1" customHeight="1">
      <c r="A264" s="997" t="s">
        <v>637</v>
      </c>
      <c r="B264" s="948"/>
      <c r="C264" s="948"/>
      <c r="D264" s="186" t="s">
        <v>638</v>
      </c>
      <c r="E264" s="98">
        <f>E265</f>
        <v>0</v>
      </c>
      <c r="F264" s="98">
        <f>F265</f>
        <v>0</v>
      </c>
      <c r="G264" s="99">
        <f>G265</f>
        <v>0</v>
      </c>
      <c r="H264" s="96">
        <f>SUM(H612)</f>
        <v>0</v>
      </c>
      <c r="I264" s="141">
        <f>SUM(I612)</f>
        <v>0</v>
      </c>
      <c r="J264" s="141">
        <f>SUM(J612)</f>
        <v>0</v>
      </c>
      <c r="K264" s="145">
        <f t="shared" si="214"/>
        <v>0</v>
      </c>
      <c r="L264" s="145">
        <f t="shared" si="215"/>
        <v>0</v>
      </c>
      <c r="M264" s="5"/>
      <c r="N264" s="5"/>
      <c r="O264" s="5"/>
      <c r="P264" s="5"/>
      <c r="Q264" s="139">
        <f t="shared" si="240"/>
        <v>0</v>
      </c>
    </row>
    <row r="265" spans="1:17" ht="27" hidden="1" customHeight="1">
      <c r="A265" s="187"/>
      <c r="B265" s="994" t="s">
        <v>639</v>
      </c>
      <c r="C265" s="948"/>
      <c r="D265" s="163"/>
      <c r="E265" s="109">
        <f>SUM(E575)</f>
        <v>0</v>
      </c>
      <c r="F265" s="109">
        <f>SUM(F575)</f>
        <v>0</v>
      </c>
      <c r="G265" s="175">
        <f>SUM(G575)</f>
        <v>0</v>
      </c>
      <c r="H265" s="105"/>
      <c r="I265" s="146"/>
      <c r="J265" s="146"/>
      <c r="K265" s="145">
        <f t="shared" ref="K265" si="319">SUM(E265:G265)</f>
        <v>0</v>
      </c>
      <c r="L265" s="145">
        <f t="shared" ref="L265:L269" si="320">IF(G265&lt;&gt;0,G265,0)</f>
        <v>0</v>
      </c>
      <c r="M265" s="132"/>
      <c r="N265" s="132"/>
      <c r="O265" s="132"/>
      <c r="P265" s="132"/>
      <c r="Q265" s="139">
        <f t="shared" si="240"/>
        <v>0</v>
      </c>
    </row>
    <row r="266" spans="1:17" ht="42" hidden="1" customHeight="1">
      <c r="A266" s="998" t="s">
        <v>640</v>
      </c>
      <c r="B266" s="948"/>
      <c r="C266" s="948"/>
      <c r="D266" s="188" t="s">
        <v>194</v>
      </c>
      <c r="E266" s="93">
        <f>SUM(E267,E271,E275,E279,E283,E287,E291,E295,E298)</f>
        <v>0</v>
      </c>
      <c r="F266" s="93">
        <f>SUM(F267,F271,F275,F279,F283,F287,F291,F295,F298)</f>
        <v>0</v>
      </c>
      <c r="G266" s="94">
        <f>SUM(G267,G271,G275,G279,G283,G287,G291,G295,G298)</f>
        <v>0</v>
      </c>
      <c r="H266" s="96" t="s">
        <v>641</v>
      </c>
      <c r="I266" s="141"/>
      <c r="J266" s="141" t="s">
        <v>641</v>
      </c>
      <c r="K266" s="137">
        <f t="shared" ref="K266:K501" si="321">SUM(E266:G266)</f>
        <v>0</v>
      </c>
      <c r="L266" s="137">
        <f t="shared" si="320"/>
        <v>0</v>
      </c>
      <c r="M266" s="132"/>
      <c r="N266" s="132"/>
      <c r="O266" s="132"/>
      <c r="P266" s="132"/>
      <c r="Q266" s="139">
        <f t="shared" si="240"/>
        <v>0</v>
      </c>
    </row>
    <row r="267" spans="1:17" ht="12.75" hidden="1" customHeight="1">
      <c r="A267" s="187"/>
      <c r="B267" s="994" t="s">
        <v>642</v>
      </c>
      <c r="C267" s="948"/>
      <c r="D267" s="163" t="s">
        <v>643</v>
      </c>
      <c r="E267" s="109">
        <f>SUM(E268:E270)</f>
        <v>0</v>
      </c>
      <c r="F267" s="109">
        <f>SUM(F268:F270)</f>
        <v>0</v>
      </c>
      <c r="G267" s="110">
        <f>SUM(G268:G270)</f>
        <v>0</v>
      </c>
      <c r="H267" s="105" t="s">
        <v>641</v>
      </c>
      <c r="I267" s="146"/>
      <c r="J267" s="146" t="s">
        <v>641</v>
      </c>
      <c r="K267" s="137">
        <f t="shared" si="321"/>
        <v>0</v>
      </c>
      <c r="L267" s="137">
        <f t="shared" si="320"/>
        <v>0</v>
      </c>
      <c r="M267" s="132"/>
      <c r="N267" s="132"/>
      <c r="O267" s="132"/>
      <c r="P267" s="132"/>
      <c r="Q267" s="139">
        <f t="shared" si="240"/>
        <v>0</v>
      </c>
    </row>
    <row r="268" spans="1:17" ht="12.75" hidden="1" customHeight="1">
      <c r="A268" s="187"/>
      <c r="B268" s="120"/>
      <c r="C268" s="159" t="s">
        <v>576</v>
      </c>
      <c r="D268" s="161" t="s">
        <v>644</v>
      </c>
      <c r="E268" s="109">
        <f t="shared" ref="E268:F270" si="322">E578</f>
        <v>0</v>
      </c>
      <c r="F268" s="109">
        <f t="shared" si="322"/>
        <v>0</v>
      </c>
      <c r="G268" s="110">
        <f t="shared" ref="G268:G270" si="323">G578</f>
        <v>0</v>
      </c>
      <c r="H268" s="181" t="s">
        <v>213</v>
      </c>
      <c r="I268" s="185"/>
      <c r="J268" s="185" t="s">
        <v>213</v>
      </c>
      <c r="K268" s="137">
        <f t="shared" si="321"/>
        <v>0</v>
      </c>
      <c r="L268" s="137">
        <f t="shared" si="320"/>
        <v>0</v>
      </c>
      <c r="M268" s="132"/>
      <c r="N268" s="132"/>
      <c r="O268" s="132"/>
      <c r="P268" s="132"/>
      <c r="Q268" s="139">
        <f t="shared" si="240"/>
        <v>0</v>
      </c>
    </row>
    <row r="269" spans="1:17" ht="12.75" hidden="1" customHeight="1">
      <c r="A269" s="187"/>
      <c r="B269" s="120"/>
      <c r="C269" s="159" t="s">
        <v>578</v>
      </c>
      <c r="D269" s="161" t="s">
        <v>645</v>
      </c>
      <c r="E269" s="109">
        <f t="shared" si="322"/>
        <v>0</v>
      </c>
      <c r="F269" s="109">
        <f t="shared" si="322"/>
        <v>0</v>
      </c>
      <c r="G269" s="175">
        <f t="shared" si="323"/>
        <v>0</v>
      </c>
      <c r="H269" s="181" t="s">
        <v>641</v>
      </c>
      <c r="I269" s="185"/>
      <c r="J269" s="185" t="s">
        <v>641</v>
      </c>
      <c r="K269" s="137">
        <f t="shared" si="321"/>
        <v>0</v>
      </c>
      <c r="L269" s="137">
        <f t="shared" si="320"/>
        <v>0</v>
      </c>
      <c r="M269" s="132"/>
      <c r="N269" s="132"/>
      <c r="O269" s="132"/>
      <c r="P269" s="132"/>
      <c r="Q269" s="139">
        <f t="shared" si="240"/>
        <v>0</v>
      </c>
    </row>
    <row r="270" spans="1:17" ht="12.75" hidden="1" customHeight="1">
      <c r="A270" s="187"/>
      <c r="B270" s="120"/>
      <c r="C270" s="159" t="s">
        <v>580</v>
      </c>
      <c r="D270" s="161" t="s">
        <v>646</v>
      </c>
      <c r="E270" s="109" t="str">
        <f t="shared" si="322"/>
        <v xml:space="preserve"> </v>
      </c>
      <c r="F270" s="109">
        <f t="shared" si="322"/>
        <v>0</v>
      </c>
      <c r="G270" s="175">
        <f t="shared" si="323"/>
        <v>0</v>
      </c>
      <c r="H270" s="181" t="s">
        <v>641</v>
      </c>
      <c r="I270" s="185"/>
      <c r="J270" s="185" t="s">
        <v>641</v>
      </c>
      <c r="K270" s="137">
        <f t="shared" si="321"/>
        <v>0</v>
      </c>
      <c r="L270" s="137">
        <f t="shared" ref="L270:L535" si="324">IF(G270&lt;&gt;0,G270,0)</f>
        <v>0</v>
      </c>
      <c r="M270" s="132"/>
      <c r="N270" s="132"/>
      <c r="O270" s="132"/>
      <c r="P270" s="132"/>
      <c r="Q270" s="139" t="e">
        <f t="shared" si="240"/>
        <v>#VALUE!</v>
      </c>
    </row>
    <row r="271" spans="1:17" ht="12.75" hidden="1" customHeight="1">
      <c r="A271" s="187"/>
      <c r="B271" s="994" t="s">
        <v>647</v>
      </c>
      <c r="C271" s="948"/>
      <c r="D271" s="163" t="s">
        <v>648</v>
      </c>
      <c r="E271" s="109">
        <f>SUM(E272:E274)</f>
        <v>0</v>
      </c>
      <c r="F271" s="109">
        <f>SUM(F272:F274)</f>
        <v>0</v>
      </c>
      <c r="G271" s="110">
        <f>SUM(G272:G274)</f>
        <v>0</v>
      </c>
      <c r="H271" s="105" t="s">
        <v>641</v>
      </c>
      <c r="I271" s="146"/>
      <c r="J271" s="146" t="s">
        <v>641</v>
      </c>
      <c r="K271" s="137">
        <f t="shared" si="321"/>
        <v>0</v>
      </c>
      <c r="L271" s="137">
        <f t="shared" si="324"/>
        <v>0</v>
      </c>
      <c r="M271" s="132"/>
      <c r="N271" s="132"/>
      <c r="O271" s="132"/>
      <c r="P271" s="132"/>
      <c r="Q271" s="139">
        <f t="shared" si="240"/>
        <v>0</v>
      </c>
    </row>
    <row r="272" spans="1:17" ht="12.75" hidden="1" customHeight="1">
      <c r="A272" s="187"/>
      <c r="B272" s="120"/>
      <c r="C272" s="159" t="s">
        <v>576</v>
      </c>
      <c r="D272" s="161" t="s">
        <v>649</v>
      </c>
      <c r="E272" s="109">
        <f t="shared" ref="E272:F274" si="325">E582</f>
        <v>0</v>
      </c>
      <c r="F272" s="109">
        <f t="shared" si="325"/>
        <v>0</v>
      </c>
      <c r="G272" s="175">
        <f t="shared" ref="G272:G274" si="326">G582</f>
        <v>0</v>
      </c>
      <c r="H272" s="181" t="s">
        <v>641</v>
      </c>
      <c r="I272" s="185"/>
      <c r="J272" s="185" t="s">
        <v>641</v>
      </c>
      <c r="K272" s="137">
        <f t="shared" si="321"/>
        <v>0</v>
      </c>
      <c r="L272" s="137">
        <f t="shared" si="324"/>
        <v>0</v>
      </c>
      <c r="M272" s="132"/>
      <c r="N272" s="132"/>
      <c r="O272" s="132"/>
      <c r="P272" s="132"/>
      <c r="Q272" s="139">
        <f t="shared" si="240"/>
        <v>0</v>
      </c>
    </row>
    <row r="273" spans="1:17" ht="12.75" hidden="1" customHeight="1">
      <c r="A273" s="187"/>
      <c r="B273" s="120"/>
      <c r="C273" s="159" t="s">
        <v>578</v>
      </c>
      <c r="D273" s="161" t="s">
        <v>650</v>
      </c>
      <c r="E273" s="109">
        <f t="shared" si="325"/>
        <v>0</v>
      </c>
      <c r="F273" s="109">
        <f t="shared" si="325"/>
        <v>0</v>
      </c>
      <c r="G273" s="175">
        <f t="shared" si="326"/>
        <v>0</v>
      </c>
      <c r="H273" s="181" t="s">
        <v>213</v>
      </c>
      <c r="I273" s="185"/>
      <c r="J273" s="185" t="s">
        <v>213</v>
      </c>
      <c r="K273" s="137">
        <f t="shared" si="321"/>
        <v>0</v>
      </c>
      <c r="L273" s="137">
        <f t="shared" si="324"/>
        <v>0</v>
      </c>
      <c r="M273" s="132"/>
      <c r="N273" s="132"/>
      <c r="O273" s="132"/>
      <c r="P273" s="132"/>
      <c r="Q273" s="139">
        <f t="shared" ref="Q273:Q336" si="327">E273-G273</f>
        <v>0</v>
      </c>
    </row>
    <row r="274" spans="1:17" ht="12.75" hidden="1" customHeight="1">
      <c r="A274" s="176"/>
      <c r="B274" s="121"/>
      <c r="C274" s="177" t="s">
        <v>580</v>
      </c>
      <c r="D274" s="178" t="s">
        <v>651</v>
      </c>
      <c r="E274" s="179">
        <f t="shared" si="325"/>
        <v>0</v>
      </c>
      <c r="F274" s="179">
        <f t="shared" si="325"/>
        <v>0</v>
      </c>
      <c r="G274" s="180">
        <f t="shared" si="326"/>
        <v>0</v>
      </c>
      <c r="H274" s="181" t="s">
        <v>641</v>
      </c>
      <c r="I274" s="185"/>
      <c r="J274" s="185" t="s">
        <v>641</v>
      </c>
      <c r="K274" s="145">
        <f t="shared" si="321"/>
        <v>0</v>
      </c>
      <c r="L274" s="145">
        <f t="shared" si="324"/>
        <v>0</v>
      </c>
      <c r="M274" s="5"/>
      <c r="N274" s="5"/>
      <c r="O274" s="5"/>
      <c r="P274" s="5"/>
      <c r="Q274" s="139">
        <f t="shared" si="327"/>
        <v>0</v>
      </c>
    </row>
    <row r="275" spans="1:17" ht="12.75" hidden="1" customHeight="1">
      <c r="A275" s="176"/>
      <c r="B275" s="993" t="s">
        <v>652</v>
      </c>
      <c r="C275" s="948"/>
      <c r="D275" s="102" t="s">
        <v>653</v>
      </c>
      <c r="E275" s="103">
        <f>SUM(E276:E278)</f>
        <v>0</v>
      </c>
      <c r="F275" s="103">
        <f>SUM(F276:F278)</f>
        <v>0</v>
      </c>
      <c r="G275" s="104">
        <f>SUM(G276:G278)</f>
        <v>0</v>
      </c>
      <c r="H275" s="105" t="s">
        <v>641</v>
      </c>
      <c r="I275" s="146"/>
      <c r="J275" s="146" t="s">
        <v>641</v>
      </c>
      <c r="K275" s="145">
        <f t="shared" si="321"/>
        <v>0</v>
      </c>
      <c r="L275" s="145">
        <f t="shared" si="324"/>
        <v>0</v>
      </c>
      <c r="M275" s="5"/>
      <c r="N275" s="5"/>
      <c r="O275" s="5"/>
      <c r="P275" s="5"/>
      <c r="Q275" s="139">
        <f t="shared" si="327"/>
        <v>0</v>
      </c>
    </row>
    <row r="276" spans="1:17" ht="12.75" hidden="1" customHeight="1">
      <c r="A276" s="176"/>
      <c r="B276" s="121"/>
      <c r="C276" s="177" t="s">
        <v>576</v>
      </c>
      <c r="D276" s="178" t="s">
        <v>654</v>
      </c>
      <c r="E276" s="179">
        <f t="shared" ref="E276:F278" si="328">E586</f>
        <v>0</v>
      </c>
      <c r="F276" s="179">
        <f t="shared" si="328"/>
        <v>0</v>
      </c>
      <c r="G276" s="180">
        <f t="shared" ref="G276:G278" si="329">G586</f>
        <v>0</v>
      </c>
      <c r="H276" s="181" t="s">
        <v>213</v>
      </c>
      <c r="I276" s="185"/>
      <c r="J276" s="185" t="s">
        <v>213</v>
      </c>
      <c r="K276" s="145">
        <f t="shared" si="321"/>
        <v>0</v>
      </c>
      <c r="L276" s="145">
        <f t="shared" si="324"/>
        <v>0</v>
      </c>
      <c r="M276" s="5"/>
      <c r="N276" s="5"/>
      <c r="O276" s="5"/>
      <c r="P276" s="5"/>
      <c r="Q276" s="139">
        <f t="shared" si="327"/>
        <v>0</v>
      </c>
    </row>
    <row r="277" spans="1:17" ht="12.75" hidden="1" customHeight="1">
      <c r="A277" s="176"/>
      <c r="B277" s="121"/>
      <c r="C277" s="177" t="s">
        <v>578</v>
      </c>
      <c r="D277" s="178" t="s">
        <v>655</v>
      </c>
      <c r="E277" s="179">
        <f t="shared" si="328"/>
        <v>0</v>
      </c>
      <c r="F277" s="179">
        <f t="shared" si="328"/>
        <v>0</v>
      </c>
      <c r="G277" s="180">
        <f t="shared" si="329"/>
        <v>0</v>
      </c>
      <c r="H277" s="181" t="s">
        <v>641</v>
      </c>
      <c r="I277" s="185"/>
      <c r="J277" s="185" t="s">
        <v>641</v>
      </c>
      <c r="K277" s="145">
        <f t="shared" si="321"/>
        <v>0</v>
      </c>
      <c r="L277" s="145">
        <f t="shared" si="324"/>
        <v>0</v>
      </c>
      <c r="M277" s="5"/>
      <c r="N277" s="5"/>
      <c r="O277" s="5"/>
      <c r="P277" s="5"/>
      <c r="Q277" s="139">
        <f t="shared" si="327"/>
        <v>0</v>
      </c>
    </row>
    <row r="278" spans="1:17" ht="12.75" hidden="1" customHeight="1">
      <c r="A278" s="176"/>
      <c r="B278" s="121"/>
      <c r="C278" s="177" t="s">
        <v>580</v>
      </c>
      <c r="D278" s="178" t="s">
        <v>656</v>
      </c>
      <c r="E278" s="179">
        <f t="shared" si="328"/>
        <v>0</v>
      </c>
      <c r="F278" s="179">
        <f t="shared" si="328"/>
        <v>0</v>
      </c>
      <c r="G278" s="180">
        <f t="shared" si="329"/>
        <v>0</v>
      </c>
      <c r="H278" s="181" t="s">
        <v>641</v>
      </c>
      <c r="I278" s="185"/>
      <c r="J278" s="185" t="s">
        <v>641</v>
      </c>
      <c r="K278" s="145">
        <f t="shared" si="321"/>
        <v>0</v>
      </c>
      <c r="L278" s="145">
        <f t="shared" si="324"/>
        <v>0</v>
      </c>
      <c r="M278" s="5"/>
      <c r="N278" s="5"/>
      <c r="O278" s="5"/>
      <c r="P278" s="5"/>
      <c r="Q278" s="139">
        <f t="shared" si="327"/>
        <v>0</v>
      </c>
    </row>
    <row r="279" spans="1:17" ht="12.75" hidden="1" customHeight="1">
      <c r="A279" s="176"/>
      <c r="B279" s="993" t="s">
        <v>657</v>
      </c>
      <c r="C279" s="948"/>
      <c r="D279" s="102" t="s">
        <v>658</v>
      </c>
      <c r="E279" s="103">
        <f>SUM(E280:E282)</f>
        <v>0</v>
      </c>
      <c r="F279" s="103">
        <f>SUM(F280:F282)</f>
        <v>0</v>
      </c>
      <c r="G279" s="104">
        <f>SUM(G280:G282)</f>
        <v>0</v>
      </c>
      <c r="H279" s="105" t="s">
        <v>641</v>
      </c>
      <c r="I279" s="146"/>
      <c r="J279" s="146" t="s">
        <v>641</v>
      </c>
      <c r="K279" s="145">
        <f t="shared" si="321"/>
        <v>0</v>
      </c>
      <c r="L279" s="145">
        <f t="shared" si="324"/>
        <v>0</v>
      </c>
      <c r="M279" s="5"/>
      <c r="N279" s="5"/>
      <c r="O279" s="5"/>
      <c r="P279" s="5"/>
      <c r="Q279" s="139">
        <f t="shared" si="327"/>
        <v>0</v>
      </c>
    </row>
    <row r="280" spans="1:17" ht="12.75" hidden="1" customHeight="1">
      <c r="A280" s="176"/>
      <c r="B280" s="121"/>
      <c r="C280" s="177" t="s">
        <v>576</v>
      </c>
      <c r="D280" s="178" t="s">
        <v>659</v>
      </c>
      <c r="E280" s="179">
        <f t="shared" ref="E280:F282" si="330">E590</f>
        <v>0</v>
      </c>
      <c r="F280" s="179">
        <f t="shared" si="330"/>
        <v>0</v>
      </c>
      <c r="G280" s="180">
        <f t="shared" ref="G280:G282" si="331">G590</f>
        <v>0</v>
      </c>
      <c r="H280" s="181" t="s">
        <v>641</v>
      </c>
      <c r="I280" s="185"/>
      <c r="J280" s="185" t="s">
        <v>641</v>
      </c>
      <c r="K280" s="145">
        <f t="shared" si="321"/>
        <v>0</v>
      </c>
      <c r="L280" s="145">
        <f t="shared" si="324"/>
        <v>0</v>
      </c>
      <c r="M280" s="5"/>
      <c r="N280" s="5"/>
      <c r="O280" s="5"/>
      <c r="P280" s="5"/>
      <c r="Q280" s="139">
        <f t="shared" si="327"/>
        <v>0</v>
      </c>
    </row>
    <row r="281" spans="1:17" ht="12.75" hidden="1" customHeight="1">
      <c r="A281" s="176"/>
      <c r="B281" s="121"/>
      <c r="C281" s="177" t="s">
        <v>578</v>
      </c>
      <c r="D281" s="178" t="s">
        <v>660</v>
      </c>
      <c r="E281" s="179">
        <f t="shared" si="330"/>
        <v>0</v>
      </c>
      <c r="F281" s="179">
        <f t="shared" si="330"/>
        <v>0</v>
      </c>
      <c r="G281" s="180">
        <f t="shared" si="331"/>
        <v>0</v>
      </c>
      <c r="H281" s="181" t="s">
        <v>213</v>
      </c>
      <c r="I281" s="185"/>
      <c r="J281" s="185" t="s">
        <v>213</v>
      </c>
      <c r="K281" s="145">
        <f t="shared" si="321"/>
        <v>0</v>
      </c>
      <c r="L281" s="145">
        <f t="shared" si="324"/>
        <v>0</v>
      </c>
      <c r="M281" s="5"/>
      <c r="N281" s="5"/>
      <c r="O281" s="5"/>
      <c r="P281" s="5"/>
      <c r="Q281" s="139">
        <f t="shared" si="327"/>
        <v>0</v>
      </c>
    </row>
    <row r="282" spans="1:17" ht="12.75" hidden="1" customHeight="1">
      <c r="A282" s="176"/>
      <c r="B282" s="121"/>
      <c r="C282" s="177" t="s">
        <v>580</v>
      </c>
      <c r="D282" s="178" t="s">
        <v>661</v>
      </c>
      <c r="E282" s="179">
        <f t="shared" si="330"/>
        <v>0</v>
      </c>
      <c r="F282" s="179">
        <f t="shared" si="330"/>
        <v>0</v>
      </c>
      <c r="G282" s="180">
        <f t="shared" si="331"/>
        <v>0</v>
      </c>
      <c r="H282" s="181" t="s">
        <v>641</v>
      </c>
      <c r="I282" s="185"/>
      <c r="J282" s="185" t="s">
        <v>641</v>
      </c>
      <c r="K282" s="145">
        <f t="shared" si="321"/>
        <v>0</v>
      </c>
      <c r="L282" s="145">
        <f t="shared" si="324"/>
        <v>0</v>
      </c>
      <c r="M282" s="5"/>
      <c r="N282" s="5"/>
      <c r="O282" s="5"/>
      <c r="P282" s="5"/>
      <c r="Q282" s="139">
        <f t="shared" si="327"/>
        <v>0</v>
      </c>
    </row>
    <row r="283" spans="1:17" ht="12.75" hidden="1" customHeight="1">
      <c r="A283" s="176"/>
      <c r="B283" s="993" t="s">
        <v>662</v>
      </c>
      <c r="C283" s="948"/>
      <c r="D283" s="102" t="s">
        <v>663</v>
      </c>
      <c r="E283" s="103">
        <f>SUM(E284:E286)</f>
        <v>0</v>
      </c>
      <c r="F283" s="103">
        <f>SUM(F284:F286)</f>
        <v>0</v>
      </c>
      <c r="G283" s="104">
        <f>SUM(G284:G286)</f>
        <v>0</v>
      </c>
      <c r="H283" s="105" t="s">
        <v>641</v>
      </c>
      <c r="I283" s="146"/>
      <c r="J283" s="146" t="s">
        <v>641</v>
      </c>
      <c r="K283" s="145">
        <f t="shared" si="321"/>
        <v>0</v>
      </c>
      <c r="L283" s="145">
        <f t="shared" si="324"/>
        <v>0</v>
      </c>
      <c r="M283" s="5"/>
      <c r="N283" s="5"/>
      <c r="O283" s="5"/>
      <c r="P283" s="5"/>
      <c r="Q283" s="139">
        <f t="shared" si="327"/>
        <v>0</v>
      </c>
    </row>
    <row r="284" spans="1:17" ht="12.75" hidden="1" customHeight="1">
      <c r="A284" s="176"/>
      <c r="B284" s="121"/>
      <c r="C284" s="177" t="s">
        <v>576</v>
      </c>
      <c r="D284" s="178" t="s">
        <v>664</v>
      </c>
      <c r="E284" s="179">
        <f t="shared" ref="E284:F286" si="332">E594</f>
        <v>0</v>
      </c>
      <c r="F284" s="179">
        <f t="shared" si="332"/>
        <v>0</v>
      </c>
      <c r="G284" s="180">
        <f t="shared" ref="G284:G286" si="333">G594</f>
        <v>0</v>
      </c>
      <c r="H284" s="181" t="s">
        <v>213</v>
      </c>
      <c r="I284" s="185"/>
      <c r="J284" s="185" t="s">
        <v>213</v>
      </c>
      <c r="K284" s="145">
        <f t="shared" si="321"/>
        <v>0</v>
      </c>
      <c r="L284" s="145">
        <f t="shared" si="324"/>
        <v>0</v>
      </c>
      <c r="M284" s="5"/>
      <c r="N284" s="5"/>
      <c r="O284" s="5"/>
      <c r="P284" s="5"/>
      <c r="Q284" s="139">
        <f t="shared" si="327"/>
        <v>0</v>
      </c>
    </row>
    <row r="285" spans="1:17" ht="12.75" hidden="1" customHeight="1">
      <c r="A285" s="176"/>
      <c r="B285" s="121"/>
      <c r="C285" s="177" t="s">
        <v>578</v>
      </c>
      <c r="D285" s="178" t="s">
        <v>665</v>
      </c>
      <c r="E285" s="179">
        <f t="shared" si="332"/>
        <v>0</v>
      </c>
      <c r="F285" s="179">
        <f t="shared" si="332"/>
        <v>0</v>
      </c>
      <c r="G285" s="180">
        <f t="shared" si="333"/>
        <v>0</v>
      </c>
      <c r="H285" s="181" t="s">
        <v>641</v>
      </c>
      <c r="I285" s="185"/>
      <c r="J285" s="185" t="s">
        <v>641</v>
      </c>
      <c r="K285" s="145">
        <f t="shared" si="321"/>
        <v>0</v>
      </c>
      <c r="L285" s="145">
        <f t="shared" si="324"/>
        <v>0</v>
      </c>
      <c r="M285" s="5"/>
      <c r="N285" s="5"/>
      <c r="O285" s="5"/>
      <c r="P285" s="5"/>
      <c r="Q285" s="139">
        <f t="shared" si="327"/>
        <v>0</v>
      </c>
    </row>
    <row r="286" spans="1:17" ht="12.75" hidden="1" customHeight="1">
      <c r="A286" s="176"/>
      <c r="B286" s="121"/>
      <c r="C286" s="177" t="s">
        <v>580</v>
      </c>
      <c r="D286" s="178" t="s">
        <v>666</v>
      </c>
      <c r="E286" s="179">
        <f t="shared" si="332"/>
        <v>0</v>
      </c>
      <c r="F286" s="179">
        <f t="shared" si="332"/>
        <v>0</v>
      </c>
      <c r="G286" s="180">
        <f t="shared" si="333"/>
        <v>0</v>
      </c>
      <c r="H286" s="181" t="s">
        <v>641</v>
      </c>
      <c r="I286" s="185"/>
      <c r="J286" s="185" t="s">
        <v>641</v>
      </c>
      <c r="K286" s="145">
        <f t="shared" si="321"/>
        <v>0</v>
      </c>
      <c r="L286" s="145">
        <f t="shared" si="324"/>
        <v>0</v>
      </c>
      <c r="M286" s="5"/>
      <c r="N286" s="5"/>
      <c r="O286" s="5"/>
      <c r="P286" s="5"/>
      <c r="Q286" s="139">
        <f t="shared" si="327"/>
        <v>0</v>
      </c>
    </row>
    <row r="287" spans="1:17" ht="12.75" hidden="1" customHeight="1">
      <c r="A287" s="176"/>
      <c r="B287" s="993" t="s">
        <v>667</v>
      </c>
      <c r="C287" s="948"/>
      <c r="D287" s="102" t="s">
        <v>668</v>
      </c>
      <c r="E287" s="103">
        <f>SUM(E288:E290)</f>
        <v>0</v>
      </c>
      <c r="F287" s="103">
        <f>SUM(F288:F290)</f>
        <v>0</v>
      </c>
      <c r="G287" s="104">
        <f>SUM(G288:G290)</f>
        <v>0</v>
      </c>
      <c r="H287" s="105" t="s">
        <v>641</v>
      </c>
      <c r="I287" s="146"/>
      <c r="J287" s="146" t="s">
        <v>641</v>
      </c>
      <c r="K287" s="145">
        <f t="shared" si="321"/>
        <v>0</v>
      </c>
      <c r="L287" s="145">
        <f t="shared" si="324"/>
        <v>0</v>
      </c>
      <c r="M287" s="5"/>
      <c r="N287" s="5"/>
      <c r="O287" s="5"/>
      <c r="P287" s="5"/>
      <c r="Q287" s="139">
        <f t="shared" si="327"/>
        <v>0</v>
      </c>
    </row>
    <row r="288" spans="1:17" ht="12.75" hidden="1" customHeight="1">
      <c r="A288" s="176"/>
      <c r="B288" s="121"/>
      <c r="C288" s="177" t="s">
        <v>576</v>
      </c>
      <c r="D288" s="178" t="s">
        <v>669</v>
      </c>
      <c r="E288" s="179">
        <f t="shared" ref="E288:F290" si="334">E598</f>
        <v>0</v>
      </c>
      <c r="F288" s="179">
        <f t="shared" si="334"/>
        <v>0</v>
      </c>
      <c r="G288" s="180">
        <f t="shared" ref="G288:G290" si="335">G598</f>
        <v>0</v>
      </c>
      <c r="H288" s="181" t="s">
        <v>641</v>
      </c>
      <c r="I288" s="185"/>
      <c r="J288" s="185" t="s">
        <v>641</v>
      </c>
      <c r="K288" s="145">
        <f t="shared" si="321"/>
        <v>0</v>
      </c>
      <c r="L288" s="145">
        <f t="shared" si="324"/>
        <v>0</v>
      </c>
      <c r="M288" s="5"/>
      <c r="N288" s="5"/>
      <c r="O288" s="5"/>
      <c r="P288" s="5"/>
      <c r="Q288" s="139">
        <f t="shared" si="327"/>
        <v>0</v>
      </c>
    </row>
    <row r="289" spans="1:17" ht="12.75" hidden="1" customHeight="1">
      <c r="A289" s="176"/>
      <c r="B289" s="121"/>
      <c r="C289" s="177" t="s">
        <v>578</v>
      </c>
      <c r="D289" s="178" t="s">
        <v>670</v>
      </c>
      <c r="E289" s="179">
        <f t="shared" si="334"/>
        <v>0</v>
      </c>
      <c r="F289" s="179">
        <f t="shared" si="334"/>
        <v>0</v>
      </c>
      <c r="G289" s="180">
        <f t="shared" si="335"/>
        <v>0</v>
      </c>
      <c r="H289" s="181" t="s">
        <v>213</v>
      </c>
      <c r="I289" s="185"/>
      <c r="J289" s="185" t="s">
        <v>213</v>
      </c>
      <c r="K289" s="145">
        <f t="shared" si="321"/>
        <v>0</v>
      </c>
      <c r="L289" s="145">
        <f t="shared" si="324"/>
        <v>0</v>
      </c>
      <c r="M289" s="5"/>
      <c r="N289" s="5"/>
      <c r="O289" s="5"/>
      <c r="P289" s="5"/>
      <c r="Q289" s="139">
        <f t="shared" si="327"/>
        <v>0</v>
      </c>
    </row>
    <row r="290" spans="1:17" ht="12.75" hidden="1" customHeight="1">
      <c r="A290" s="176"/>
      <c r="B290" s="121"/>
      <c r="C290" s="177" t="s">
        <v>580</v>
      </c>
      <c r="D290" s="178" t="s">
        <v>671</v>
      </c>
      <c r="E290" s="179">
        <f t="shared" si="334"/>
        <v>0</v>
      </c>
      <c r="F290" s="179">
        <f t="shared" si="334"/>
        <v>0</v>
      </c>
      <c r="G290" s="180">
        <f t="shared" si="335"/>
        <v>0</v>
      </c>
      <c r="H290" s="181" t="s">
        <v>641</v>
      </c>
      <c r="I290" s="185"/>
      <c r="J290" s="185" t="s">
        <v>641</v>
      </c>
      <c r="K290" s="145">
        <f t="shared" si="321"/>
        <v>0</v>
      </c>
      <c r="L290" s="145">
        <f t="shared" si="324"/>
        <v>0</v>
      </c>
      <c r="M290" s="5"/>
      <c r="N290" s="5"/>
      <c r="O290" s="5"/>
      <c r="P290" s="5"/>
      <c r="Q290" s="139">
        <f t="shared" si="327"/>
        <v>0</v>
      </c>
    </row>
    <row r="291" spans="1:17" ht="12.75" hidden="1" customHeight="1">
      <c r="A291" s="187"/>
      <c r="B291" s="994" t="s">
        <v>672</v>
      </c>
      <c r="C291" s="948"/>
      <c r="D291" s="163" t="s">
        <v>673</v>
      </c>
      <c r="E291" s="109">
        <f>SUM(E292:E294)</f>
        <v>0</v>
      </c>
      <c r="F291" s="109">
        <f>SUM(F292:F294)</f>
        <v>0</v>
      </c>
      <c r="G291" s="110">
        <f>SUM(G292:G294)</f>
        <v>0</v>
      </c>
      <c r="H291" s="105" t="s">
        <v>641</v>
      </c>
      <c r="I291" s="146"/>
      <c r="J291" s="146" t="s">
        <v>641</v>
      </c>
      <c r="K291" s="137">
        <f t="shared" si="321"/>
        <v>0</v>
      </c>
      <c r="L291" s="137">
        <f t="shared" si="324"/>
        <v>0</v>
      </c>
      <c r="M291" s="132"/>
      <c r="N291" s="132"/>
      <c r="O291" s="132"/>
      <c r="P291" s="132"/>
      <c r="Q291" s="139">
        <f t="shared" si="327"/>
        <v>0</v>
      </c>
    </row>
    <row r="292" spans="1:17" ht="12.75" hidden="1" customHeight="1">
      <c r="A292" s="176"/>
      <c r="B292" s="121"/>
      <c r="C292" s="177" t="s">
        <v>576</v>
      </c>
      <c r="D292" s="178" t="s">
        <v>674</v>
      </c>
      <c r="E292" s="179">
        <f t="shared" ref="E292:F294" si="336">E602</f>
        <v>0</v>
      </c>
      <c r="F292" s="179">
        <f t="shared" si="336"/>
        <v>0</v>
      </c>
      <c r="G292" s="180">
        <f t="shared" ref="G292:G294" si="337">G602</f>
        <v>0</v>
      </c>
      <c r="H292" s="181" t="s">
        <v>213</v>
      </c>
      <c r="I292" s="185"/>
      <c r="J292" s="185" t="s">
        <v>213</v>
      </c>
      <c r="K292" s="145">
        <f t="shared" si="321"/>
        <v>0</v>
      </c>
      <c r="L292" s="145">
        <f t="shared" si="324"/>
        <v>0</v>
      </c>
      <c r="M292" s="5"/>
      <c r="N292" s="5"/>
      <c r="O292" s="5"/>
      <c r="P292" s="5"/>
      <c r="Q292" s="139">
        <f t="shared" si="327"/>
        <v>0</v>
      </c>
    </row>
    <row r="293" spans="1:17" ht="12.75" hidden="1" customHeight="1">
      <c r="A293" s="187"/>
      <c r="B293" s="120"/>
      <c r="C293" s="159" t="s">
        <v>578</v>
      </c>
      <c r="D293" s="161" t="s">
        <v>675</v>
      </c>
      <c r="E293" s="109">
        <f t="shared" si="336"/>
        <v>0</v>
      </c>
      <c r="F293" s="109">
        <f t="shared" si="336"/>
        <v>0</v>
      </c>
      <c r="G293" s="175">
        <f t="shared" si="337"/>
        <v>0</v>
      </c>
      <c r="H293" s="181" t="s">
        <v>641</v>
      </c>
      <c r="I293" s="185"/>
      <c r="J293" s="185" t="s">
        <v>641</v>
      </c>
      <c r="K293" s="137">
        <f t="shared" si="321"/>
        <v>0</v>
      </c>
      <c r="L293" s="137">
        <f t="shared" si="324"/>
        <v>0</v>
      </c>
      <c r="M293" s="132"/>
      <c r="N293" s="132"/>
      <c r="O293" s="132"/>
      <c r="P293" s="132"/>
      <c r="Q293" s="139">
        <f t="shared" si="327"/>
        <v>0</v>
      </c>
    </row>
    <row r="294" spans="1:17" ht="12.75" hidden="1" customHeight="1">
      <c r="A294" s="176"/>
      <c r="B294" s="121"/>
      <c r="C294" s="177" t="s">
        <v>580</v>
      </c>
      <c r="D294" s="178" t="s">
        <v>676</v>
      </c>
      <c r="E294" s="179">
        <f t="shared" si="336"/>
        <v>0</v>
      </c>
      <c r="F294" s="179">
        <f t="shared" si="336"/>
        <v>0</v>
      </c>
      <c r="G294" s="180">
        <f t="shared" si="337"/>
        <v>0</v>
      </c>
      <c r="H294" s="181" t="s">
        <v>641</v>
      </c>
      <c r="I294" s="185"/>
      <c r="J294" s="185" t="s">
        <v>641</v>
      </c>
      <c r="K294" s="145">
        <f t="shared" si="321"/>
        <v>0</v>
      </c>
      <c r="L294" s="145">
        <f t="shared" si="324"/>
        <v>0</v>
      </c>
      <c r="M294" s="5"/>
      <c r="N294" s="5"/>
      <c r="O294" s="5"/>
      <c r="P294" s="5"/>
      <c r="Q294" s="139">
        <f t="shared" si="327"/>
        <v>0</v>
      </c>
    </row>
    <row r="295" spans="1:17" ht="12.75" hidden="1" customHeight="1">
      <c r="A295" s="176"/>
      <c r="B295" s="993" t="s">
        <v>677</v>
      </c>
      <c r="C295" s="948"/>
      <c r="D295" s="102" t="s">
        <v>678</v>
      </c>
      <c r="E295" s="103">
        <f>SUM(E299:E301)</f>
        <v>0</v>
      </c>
      <c r="F295" s="103">
        <f>SUM(F299:F301)</f>
        <v>0</v>
      </c>
      <c r="G295" s="104">
        <f>SUM(G299:G301)</f>
        <v>0</v>
      </c>
      <c r="H295" s="105" t="s">
        <v>641</v>
      </c>
      <c r="I295" s="146"/>
      <c r="J295" s="146" t="s">
        <v>641</v>
      </c>
      <c r="K295" s="145">
        <f t="shared" si="321"/>
        <v>0</v>
      </c>
      <c r="L295" s="145">
        <f t="shared" si="324"/>
        <v>0</v>
      </c>
      <c r="M295" s="5"/>
      <c r="N295" s="5"/>
      <c r="O295" s="5"/>
      <c r="P295" s="5"/>
      <c r="Q295" s="139">
        <f t="shared" si="327"/>
        <v>0</v>
      </c>
    </row>
    <row r="296" spans="1:17" ht="12.75" hidden="1" customHeight="1">
      <c r="A296" s="176"/>
      <c r="B296" s="121"/>
      <c r="C296" s="177" t="s">
        <v>576</v>
      </c>
      <c r="D296" s="178" t="s">
        <v>679</v>
      </c>
      <c r="E296" s="179">
        <f t="shared" ref="E296:F297" si="338">E606</f>
        <v>0</v>
      </c>
      <c r="F296" s="179">
        <f t="shared" si="338"/>
        <v>0</v>
      </c>
      <c r="G296" s="180">
        <f t="shared" ref="G296:G297" si="339">G606</f>
        <v>0</v>
      </c>
      <c r="H296" s="181" t="s">
        <v>641</v>
      </c>
      <c r="I296" s="185"/>
      <c r="J296" s="185" t="s">
        <v>641</v>
      </c>
      <c r="K296" s="145">
        <f t="shared" si="321"/>
        <v>0</v>
      </c>
      <c r="L296" s="145">
        <f t="shared" si="324"/>
        <v>0</v>
      </c>
      <c r="M296" s="5"/>
      <c r="N296" s="5"/>
      <c r="O296" s="5"/>
      <c r="P296" s="5"/>
      <c r="Q296" s="139">
        <f t="shared" si="327"/>
        <v>0</v>
      </c>
    </row>
    <row r="297" spans="1:17" ht="12.75" hidden="1" customHeight="1">
      <c r="A297" s="176"/>
      <c r="B297" s="121"/>
      <c r="C297" s="177" t="s">
        <v>578</v>
      </c>
      <c r="D297" s="178" t="s">
        <v>680</v>
      </c>
      <c r="E297" s="179">
        <f t="shared" si="338"/>
        <v>0</v>
      </c>
      <c r="F297" s="179">
        <f t="shared" si="338"/>
        <v>0</v>
      </c>
      <c r="G297" s="180">
        <f t="shared" si="339"/>
        <v>0</v>
      </c>
      <c r="H297" s="181" t="s">
        <v>213</v>
      </c>
      <c r="I297" s="185"/>
      <c r="J297" s="185" t="s">
        <v>213</v>
      </c>
      <c r="K297" s="145">
        <f t="shared" si="321"/>
        <v>0</v>
      </c>
      <c r="L297" s="145">
        <f t="shared" si="324"/>
        <v>0</v>
      </c>
      <c r="M297" s="5"/>
      <c r="N297" s="5"/>
      <c r="O297" s="5"/>
      <c r="P297" s="5"/>
      <c r="Q297" s="139">
        <f t="shared" si="327"/>
        <v>0</v>
      </c>
    </row>
    <row r="298" spans="1:17" ht="12.75" hidden="1" customHeight="1">
      <c r="A298" s="176"/>
      <c r="B298" s="993" t="s">
        <v>681</v>
      </c>
      <c r="C298" s="948"/>
      <c r="D298" s="102" t="s">
        <v>682</v>
      </c>
      <c r="E298" s="103">
        <f>SUM(E299:E301)</f>
        <v>0</v>
      </c>
      <c r="F298" s="103">
        <f>SUM(F299:F301)</f>
        <v>0</v>
      </c>
      <c r="G298" s="104">
        <f>SUM(G299:G301)</f>
        <v>0</v>
      </c>
      <c r="H298" s="105" t="s">
        <v>641</v>
      </c>
      <c r="I298" s="146"/>
      <c r="J298" s="146" t="s">
        <v>641</v>
      </c>
      <c r="K298" s="145">
        <f t="shared" si="321"/>
        <v>0</v>
      </c>
      <c r="L298" s="145">
        <f t="shared" si="324"/>
        <v>0</v>
      </c>
      <c r="M298" s="5"/>
      <c r="N298" s="5"/>
      <c r="O298" s="5"/>
      <c r="P298" s="5"/>
      <c r="Q298" s="139">
        <f t="shared" si="327"/>
        <v>0</v>
      </c>
    </row>
    <row r="299" spans="1:17" ht="12.75" hidden="1" customHeight="1">
      <c r="A299" s="176"/>
      <c r="B299" s="121"/>
      <c r="C299" s="177" t="s">
        <v>576</v>
      </c>
      <c r="D299" s="178" t="s">
        <v>683</v>
      </c>
      <c r="E299" s="179">
        <f t="shared" ref="E299:F301" si="340">E609</f>
        <v>0</v>
      </c>
      <c r="F299" s="179">
        <f t="shared" si="340"/>
        <v>0</v>
      </c>
      <c r="G299" s="180">
        <f t="shared" ref="G299:G301" si="341">G609</f>
        <v>0</v>
      </c>
      <c r="H299" s="181" t="s">
        <v>641</v>
      </c>
      <c r="I299" s="185"/>
      <c r="J299" s="185" t="s">
        <v>641</v>
      </c>
      <c r="K299" s="145">
        <f t="shared" si="321"/>
        <v>0</v>
      </c>
      <c r="L299" s="145">
        <f t="shared" si="324"/>
        <v>0</v>
      </c>
      <c r="M299" s="5"/>
      <c r="N299" s="5"/>
      <c r="O299" s="5"/>
      <c r="P299" s="5"/>
      <c r="Q299" s="139">
        <f t="shared" si="327"/>
        <v>0</v>
      </c>
    </row>
    <row r="300" spans="1:17" ht="12.75" hidden="1" customHeight="1">
      <c r="A300" s="176"/>
      <c r="B300" s="121"/>
      <c r="C300" s="177" t="s">
        <v>578</v>
      </c>
      <c r="D300" s="178" t="s">
        <v>684</v>
      </c>
      <c r="E300" s="179">
        <f t="shared" si="340"/>
        <v>0</v>
      </c>
      <c r="F300" s="179">
        <f t="shared" si="340"/>
        <v>0</v>
      </c>
      <c r="G300" s="180">
        <f t="shared" si="341"/>
        <v>0</v>
      </c>
      <c r="H300" s="181" t="s">
        <v>641</v>
      </c>
      <c r="I300" s="185"/>
      <c r="J300" s="185" t="s">
        <v>641</v>
      </c>
      <c r="K300" s="145">
        <f t="shared" si="321"/>
        <v>0</v>
      </c>
      <c r="L300" s="145">
        <f t="shared" si="324"/>
        <v>0</v>
      </c>
      <c r="M300" s="5"/>
      <c r="N300" s="5"/>
      <c r="O300" s="5"/>
      <c r="P300" s="5"/>
      <c r="Q300" s="139">
        <f t="shared" si="327"/>
        <v>0</v>
      </c>
    </row>
    <row r="301" spans="1:17" ht="12.75" hidden="1" customHeight="1">
      <c r="A301" s="176"/>
      <c r="B301" s="121"/>
      <c r="C301" s="177" t="s">
        <v>580</v>
      </c>
      <c r="D301" s="178" t="s">
        <v>685</v>
      </c>
      <c r="E301" s="179">
        <f t="shared" si="340"/>
        <v>0</v>
      </c>
      <c r="F301" s="179">
        <f t="shared" si="340"/>
        <v>0</v>
      </c>
      <c r="G301" s="180">
        <f t="shared" si="341"/>
        <v>0</v>
      </c>
      <c r="H301" s="181" t="s">
        <v>213</v>
      </c>
      <c r="I301" s="185"/>
      <c r="J301" s="185" t="s">
        <v>213</v>
      </c>
      <c r="K301" s="145">
        <f t="shared" si="321"/>
        <v>0</v>
      </c>
      <c r="L301" s="145">
        <f t="shared" si="324"/>
        <v>0</v>
      </c>
      <c r="M301" s="5"/>
      <c r="N301" s="5"/>
      <c r="O301" s="5"/>
      <c r="P301" s="5"/>
      <c r="Q301" s="139">
        <f t="shared" si="327"/>
        <v>0</v>
      </c>
    </row>
    <row r="302" spans="1:17" ht="12.75" customHeight="1">
      <c r="A302" s="990" t="s">
        <v>686</v>
      </c>
      <c r="B302" s="948"/>
      <c r="C302" s="948"/>
      <c r="D302" s="92" t="s">
        <v>192</v>
      </c>
      <c r="E302" s="93">
        <f t="shared" ref="E302:F302" si="342">SUM(E304,E411,E418)</f>
        <v>194431.90000000002</v>
      </c>
      <c r="F302" s="93">
        <f t="shared" si="342"/>
        <v>0</v>
      </c>
      <c r="G302" s="94">
        <f t="shared" ref="G302:J302" si="343">SUM(G304,G411,G418)</f>
        <v>194431.90000000002</v>
      </c>
      <c r="H302" s="96">
        <f t="shared" si="343"/>
        <v>45978</v>
      </c>
      <c r="I302" s="141">
        <f t="shared" si="343"/>
        <v>46471</v>
      </c>
      <c r="J302" s="141">
        <f t="shared" si="343"/>
        <v>46918</v>
      </c>
      <c r="K302" s="137">
        <f t="shared" si="321"/>
        <v>388863.80000000005</v>
      </c>
      <c r="L302" s="137">
        <f t="shared" si="324"/>
        <v>194431.90000000002</v>
      </c>
      <c r="M302" s="132"/>
      <c r="N302" s="132"/>
      <c r="O302" s="132"/>
      <c r="P302" s="132"/>
      <c r="Q302" s="139">
        <f t="shared" si="327"/>
        <v>0</v>
      </c>
    </row>
    <row r="303" spans="1:17" ht="12.75" customHeight="1">
      <c r="A303" s="990" t="s">
        <v>193</v>
      </c>
      <c r="B303" s="948"/>
      <c r="C303" s="948"/>
      <c r="D303" s="92" t="s">
        <v>194</v>
      </c>
      <c r="E303" s="93">
        <f t="shared" ref="E303:F303" si="344">E304-E335+E363-E407</f>
        <v>119032.80000000003</v>
      </c>
      <c r="F303" s="93">
        <f t="shared" si="344"/>
        <v>0</v>
      </c>
      <c r="G303" s="94">
        <f t="shared" ref="G303:J303" si="345">G304-G335+G363-G407</f>
        <v>119032.80000000003</v>
      </c>
      <c r="H303" s="96">
        <f t="shared" si="345"/>
        <v>0</v>
      </c>
      <c r="I303" s="141">
        <f t="shared" si="345"/>
        <v>0</v>
      </c>
      <c r="J303" s="141">
        <f t="shared" si="345"/>
        <v>0</v>
      </c>
      <c r="K303" s="137">
        <f t="shared" si="321"/>
        <v>238065.60000000006</v>
      </c>
      <c r="L303" s="137">
        <f t="shared" si="324"/>
        <v>119032.80000000003</v>
      </c>
      <c r="M303" s="132"/>
      <c r="N303" s="132"/>
      <c r="O303" s="132"/>
      <c r="P303" s="132"/>
      <c r="Q303" s="139">
        <f t="shared" si="327"/>
        <v>0</v>
      </c>
    </row>
    <row r="304" spans="1:17" ht="12.75" customHeight="1">
      <c r="A304" s="990" t="s">
        <v>195</v>
      </c>
      <c r="B304" s="948"/>
      <c r="C304" s="948"/>
      <c r="D304" s="92" t="s">
        <v>196</v>
      </c>
      <c r="E304" s="93">
        <f t="shared" ref="E304:F304" si="346">SUM(E305,E372)</f>
        <v>186054.90000000002</v>
      </c>
      <c r="F304" s="93">
        <f t="shared" si="346"/>
        <v>0</v>
      </c>
      <c r="G304" s="94">
        <f t="shared" ref="G304:J304" si="347">SUM(G305,G372)</f>
        <v>186054.90000000002</v>
      </c>
      <c r="H304" s="96">
        <f t="shared" si="347"/>
        <v>45978</v>
      </c>
      <c r="I304" s="141">
        <f t="shared" si="347"/>
        <v>46471</v>
      </c>
      <c r="J304" s="141">
        <f t="shared" si="347"/>
        <v>46918</v>
      </c>
      <c r="K304" s="137">
        <f t="shared" si="321"/>
        <v>372109.80000000005</v>
      </c>
      <c r="L304" s="137">
        <f t="shared" si="324"/>
        <v>186054.90000000002</v>
      </c>
      <c r="M304" s="132"/>
      <c r="N304" s="132"/>
      <c r="O304" s="132"/>
      <c r="P304" s="132"/>
      <c r="Q304" s="139">
        <f t="shared" si="327"/>
        <v>0</v>
      </c>
    </row>
    <row r="305" spans="1:17" ht="12.75" customHeight="1">
      <c r="A305" s="990" t="s">
        <v>197</v>
      </c>
      <c r="B305" s="948"/>
      <c r="C305" s="948"/>
      <c r="D305" s="92" t="s">
        <v>198</v>
      </c>
      <c r="E305" s="93">
        <f t="shared" ref="E305:F305" si="348">SUM(E306,E323,E334,E369)</f>
        <v>214518.1</v>
      </c>
      <c r="F305" s="93">
        <f t="shared" si="348"/>
        <v>0</v>
      </c>
      <c r="G305" s="94">
        <f t="shared" ref="G305:J305" si="349">SUM(G306,G323,G334,G369)</f>
        <v>214518.1</v>
      </c>
      <c r="H305" s="96">
        <f t="shared" si="349"/>
        <v>45978</v>
      </c>
      <c r="I305" s="141">
        <f t="shared" si="349"/>
        <v>46471</v>
      </c>
      <c r="J305" s="141">
        <f t="shared" si="349"/>
        <v>46918</v>
      </c>
      <c r="K305" s="137">
        <f t="shared" si="321"/>
        <v>429036.2</v>
      </c>
      <c r="L305" s="137">
        <f t="shared" si="324"/>
        <v>214518.1</v>
      </c>
      <c r="M305" s="132"/>
      <c r="N305" s="132"/>
      <c r="O305" s="132"/>
      <c r="P305" s="132"/>
      <c r="Q305" s="139">
        <f t="shared" si="327"/>
        <v>0</v>
      </c>
    </row>
    <row r="306" spans="1:17" ht="12.75" customHeight="1">
      <c r="A306" s="990" t="s">
        <v>687</v>
      </c>
      <c r="B306" s="948"/>
      <c r="C306" s="948"/>
      <c r="D306" s="92" t="s">
        <v>200</v>
      </c>
      <c r="E306" s="93">
        <f t="shared" ref="E306:F306" si="350">SUM(E307,E310,E318)</f>
        <v>111542</v>
      </c>
      <c r="F306" s="93">
        <f t="shared" si="350"/>
        <v>0</v>
      </c>
      <c r="G306" s="94">
        <f t="shared" ref="G306:J306" si="351">SUM(G307,G310,G318)</f>
        <v>111542</v>
      </c>
      <c r="H306" s="96">
        <f t="shared" si="351"/>
        <v>0</v>
      </c>
      <c r="I306" s="141">
        <f t="shared" si="351"/>
        <v>0</v>
      </c>
      <c r="J306" s="141">
        <f t="shared" si="351"/>
        <v>0</v>
      </c>
      <c r="K306" s="137">
        <f t="shared" si="321"/>
        <v>223084</v>
      </c>
      <c r="L306" s="137">
        <f t="shared" si="324"/>
        <v>111542</v>
      </c>
      <c r="M306" s="132"/>
      <c r="N306" s="132"/>
      <c r="O306" s="132"/>
      <c r="P306" s="132"/>
      <c r="Q306" s="139">
        <f t="shared" si="327"/>
        <v>0</v>
      </c>
    </row>
    <row r="307" spans="1:17" ht="12.75" hidden="1" customHeight="1">
      <c r="A307" s="989" t="s">
        <v>688</v>
      </c>
      <c r="B307" s="948"/>
      <c r="C307" s="948"/>
      <c r="D307" s="97" t="s">
        <v>202</v>
      </c>
      <c r="E307" s="98">
        <f t="shared" ref="E307:F308" si="352">SUM(E308)</f>
        <v>0</v>
      </c>
      <c r="F307" s="98">
        <f t="shared" si="352"/>
        <v>0</v>
      </c>
      <c r="G307" s="99">
        <f t="shared" ref="G307:J308" si="353">SUM(G308)</f>
        <v>0</v>
      </c>
      <c r="H307" s="96">
        <f t="shared" si="353"/>
        <v>0</v>
      </c>
      <c r="I307" s="141">
        <f t="shared" si="353"/>
        <v>0</v>
      </c>
      <c r="J307" s="141">
        <f t="shared" si="353"/>
        <v>0</v>
      </c>
      <c r="K307" s="145">
        <f t="shared" si="321"/>
        <v>0</v>
      </c>
      <c r="L307" s="145">
        <f t="shared" si="324"/>
        <v>0</v>
      </c>
      <c r="M307" s="5"/>
      <c r="N307" s="5"/>
      <c r="O307" s="5"/>
      <c r="P307" s="5"/>
      <c r="Q307" s="139">
        <f t="shared" si="327"/>
        <v>0</v>
      </c>
    </row>
    <row r="308" spans="1:17" ht="12.75" hidden="1" customHeight="1">
      <c r="A308" s="989" t="s">
        <v>689</v>
      </c>
      <c r="B308" s="948"/>
      <c r="C308" s="948"/>
      <c r="D308" s="97" t="s">
        <v>204</v>
      </c>
      <c r="E308" s="98">
        <f t="shared" si="352"/>
        <v>0</v>
      </c>
      <c r="F308" s="98">
        <f t="shared" si="352"/>
        <v>0</v>
      </c>
      <c r="G308" s="99">
        <f t="shared" si="353"/>
        <v>0</v>
      </c>
      <c r="H308" s="96">
        <f t="shared" si="353"/>
        <v>0</v>
      </c>
      <c r="I308" s="141">
        <f t="shared" si="353"/>
        <v>0</v>
      </c>
      <c r="J308" s="141">
        <f t="shared" si="353"/>
        <v>0</v>
      </c>
      <c r="K308" s="145">
        <f t="shared" si="321"/>
        <v>0</v>
      </c>
      <c r="L308" s="145">
        <f t="shared" si="324"/>
        <v>0</v>
      </c>
      <c r="M308" s="5"/>
      <c r="N308" s="5"/>
      <c r="O308" s="5"/>
      <c r="P308" s="5"/>
      <c r="Q308" s="139">
        <f t="shared" si="327"/>
        <v>0</v>
      </c>
    </row>
    <row r="309" spans="1:17" ht="12.75" hidden="1" customHeight="1">
      <c r="A309" s="189"/>
      <c r="B309" s="986" t="s">
        <v>690</v>
      </c>
      <c r="C309" s="957"/>
      <c r="D309" s="191" t="s">
        <v>206</v>
      </c>
      <c r="E309" s="192"/>
      <c r="F309" s="192"/>
      <c r="G309" s="193">
        <f>SUM(F309,E309)</f>
        <v>0</v>
      </c>
      <c r="H309" s="194">
        <f>ROUND(F309*H$7,)</f>
        <v>0</v>
      </c>
      <c r="I309" s="208">
        <f>ROUND(G309*I$7,)</f>
        <v>0</v>
      </c>
      <c r="J309" s="208">
        <f>ROUND(H309*J$7,)</f>
        <v>0</v>
      </c>
      <c r="K309" s="145">
        <f t="shared" si="321"/>
        <v>0</v>
      </c>
      <c r="L309" s="145">
        <f t="shared" si="324"/>
        <v>0</v>
      </c>
      <c r="M309" s="5"/>
      <c r="N309" s="5"/>
      <c r="O309" s="5"/>
      <c r="P309" s="5"/>
      <c r="Q309" s="139">
        <f t="shared" si="327"/>
        <v>0</v>
      </c>
    </row>
    <row r="310" spans="1:17" ht="12.75" customHeight="1">
      <c r="A310" s="990" t="s">
        <v>207</v>
      </c>
      <c r="B310" s="948"/>
      <c r="C310" s="948"/>
      <c r="D310" s="92" t="s">
        <v>208</v>
      </c>
      <c r="E310" s="93">
        <f t="shared" ref="E310:F310" si="354">SUM(E311,E314)</f>
        <v>111542</v>
      </c>
      <c r="F310" s="93">
        <f t="shared" si="354"/>
        <v>0</v>
      </c>
      <c r="G310" s="94">
        <f t="shared" ref="G310:J310" si="355">SUM(G311,G314)</f>
        <v>111542</v>
      </c>
      <c r="H310" s="96">
        <f t="shared" si="355"/>
        <v>0</v>
      </c>
      <c r="I310" s="141">
        <f t="shared" si="355"/>
        <v>0</v>
      </c>
      <c r="J310" s="141">
        <f t="shared" si="355"/>
        <v>0</v>
      </c>
      <c r="K310" s="137">
        <f t="shared" si="321"/>
        <v>223084</v>
      </c>
      <c r="L310" s="137">
        <f t="shared" si="324"/>
        <v>111542</v>
      </c>
      <c r="M310" s="132"/>
      <c r="N310" s="132"/>
      <c r="O310" s="132"/>
      <c r="P310" s="132"/>
      <c r="Q310" s="139">
        <f t="shared" si="327"/>
        <v>0</v>
      </c>
    </row>
    <row r="311" spans="1:17" ht="12.75" hidden="1" customHeight="1">
      <c r="A311" s="989" t="s">
        <v>691</v>
      </c>
      <c r="B311" s="948"/>
      <c r="C311" s="948"/>
      <c r="D311" s="97" t="s">
        <v>210</v>
      </c>
      <c r="E311" s="98"/>
      <c r="F311" s="98"/>
      <c r="G311" s="99"/>
      <c r="H311" s="96"/>
      <c r="I311" s="141"/>
      <c r="J311" s="141"/>
      <c r="K311" s="145">
        <f t="shared" si="321"/>
        <v>0</v>
      </c>
      <c r="L311" s="145">
        <f t="shared" si="324"/>
        <v>0</v>
      </c>
      <c r="M311" s="5"/>
      <c r="N311" s="5"/>
      <c r="O311" s="5"/>
      <c r="P311" s="5"/>
      <c r="Q311" s="139">
        <f t="shared" si="327"/>
        <v>0</v>
      </c>
    </row>
    <row r="312" spans="1:17" ht="12.75" hidden="1" customHeight="1">
      <c r="A312" s="189"/>
      <c r="B312" s="986" t="s">
        <v>211</v>
      </c>
      <c r="C312" s="957"/>
      <c r="D312" s="191" t="s">
        <v>212</v>
      </c>
      <c r="E312" s="192"/>
      <c r="F312" s="192"/>
      <c r="G312" s="193">
        <f>SUM(F312,E312)</f>
        <v>0</v>
      </c>
      <c r="H312" s="195">
        <f t="shared" ref="H312:J313" si="356">ROUND(F312*H$7,)</f>
        <v>0</v>
      </c>
      <c r="I312" s="209">
        <f t="shared" si="356"/>
        <v>0</v>
      </c>
      <c r="J312" s="209">
        <f t="shared" si="356"/>
        <v>0</v>
      </c>
      <c r="K312" s="145">
        <f t="shared" si="321"/>
        <v>0</v>
      </c>
      <c r="L312" s="145">
        <f t="shared" si="324"/>
        <v>0</v>
      </c>
      <c r="M312" s="5"/>
      <c r="N312" s="5"/>
      <c r="O312" s="5"/>
      <c r="P312" s="5"/>
      <c r="Q312" s="139">
        <f t="shared" si="327"/>
        <v>0</v>
      </c>
    </row>
    <row r="313" spans="1:17" ht="12.75" hidden="1" customHeight="1">
      <c r="A313" s="196"/>
      <c r="B313" s="986" t="s">
        <v>692</v>
      </c>
      <c r="C313" s="957"/>
      <c r="D313" s="191" t="s">
        <v>215</v>
      </c>
      <c r="E313" s="192"/>
      <c r="F313" s="192"/>
      <c r="G313" s="193">
        <f>SUM(F313,E313)</f>
        <v>0</v>
      </c>
      <c r="H313" s="195">
        <f t="shared" si="356"/>
        <v>0</v>
      </c>
      <c r="I313" s="209">
        <f t="shared" si="356"/>
        <v>0</v>
      </c>
      <c r="J313" s="209">
        <f t="shared" si="356"/>
        <v>0</v>
      </c>
      <c r="K313" s="145">
        <f t="shared" si="321"/>
        <v>0</v>
      </c>
      <c r="L313" s="145">
        <f t="shared" si="324"/>
        <v>0</v>
      </c>
      <c r="M313" s="5"/>
      <c r="N313" s="5"/>
      <c r="O313" s="5"/>
      <c r="P313" s="5"/>
      <c r="Q313" s="139">
        <f t="shared" si="327"/>
        <v>0</v>
      </c>
    </row>
    <row r="314" spans="1:17" ht="12.75" customHeight="1">
      <c r="A314" s="990" t="s">
        <v>216</v>
      </c>
      <c r="B314" s="948"/>
      <c r="C314" s="948"/>
      <c r="D314" s="92" t="s">
        <v>217</v>
      </c>
      <c r="E314" s="93">
        <f t="shared" ref="E314:F314" si="357">SUM(E315:E317)</f>
        <v>111542</v>
      </c>
      <c r="F314" s="93">
        <f t="shared" si="357"/>
        <v>0</v>
      </c>
      <c r="G314" s="94">
        <f t="shared" ref="G314" si="358">SUM(G315:G317)</f>
        <v>111542</v>
      </c>
      <c r="H314" s="96">
        <f t="shared" ref="H314:J314" si="359">SUM(H315:H317)</f>
        <v>0</v>
      </c>
      <c r="I314" s="141">
        <f t="shared" si="359"/>
        <v>0</v>
      </c>
      <c r="J314" s="141">
        <f t="shared" si="359"/>
        <v>0</v>
      </c>
      <c r="K314" s="137">
        <f t="shared" si="321"/>
        <v>223084</v>
      </c>
      <c r="L314" s="137">
        <f t="shared" si="324"/>
        <v>111542</v>
      </c>
      <c r="M314" s="132"/>
      <c r="N314" s="132"/>
      <c r="O314" s="132"/>
      <c r="P314" s="132"/>
      <c r="Q314" s="139">
        <f t="shared" si="327"/>
        <v>0</v>
      </c>
    </row>
    <row r="315" spans="1:17" ht="12.75" customHeight="1">
      <c r="A315" s="197"/>
      <c r="B315" s="988" t="s">
        <v>218</v>
      </c>
      <c r="C315" s="957"/>
      <c r="D315" s="199" t="s">
        <v>219</v>
      </c>
      <c r="E315" s="200">
        <v>70826</v>
      </c>
      <c r="F315" s="200"/>
      <c r="G315" s="201">
        <f>SUM(E315:F315)</f>
        <v>70826</v>
      </c>
      <c r="H315" s="202">
        <f>ROUND(F315*H$7,)</f>
        <v>0</v>
      </c>
      <c r="I315" s="210">
        <f>ROUND(F315*I$7,)</f>
        <v>0</v>
      </c>
      <c r="J315" s="210">
        <f>ROUND(F315*J$7,)</f>
        <v>0</v>
      </c>
      <c r="K315" s="137">
        <f t="shared" si="321"/>
        <v>141652</v>
      </c>
      <c r="L315" s="137">
        <f t="shared" si="324"/>
        <v>70826</v>
      </c>
      <c r="M315" s="211">
        <v>1.1000000000000001</v>
      </c>
      <c r="N315" s="132"/>
      <c r="O315" s="132"/>
      <c r="P315" s="132"/>
      <c r="Q315" s="139">
        <f t="shared" si="327"/>
        <v>0</v>
      </c>
    </row>
    <row r="316" spans="1:17" ht="24" customHeight="1">
      <c r="A316" s="197"/>
      <c r="B316" s="988" t="s">
        <v>220</v>
      </c>
      <c r="C316" s="957"/>
      <c r="D316" s="199" t="s">
        <v>221</v>
      </c>
      <c r="E316" s="203">
        <v>40716</v>
      </c>
      <c r="F316" s="203"/>
      <c r="G316" s="201">
        <f>SUM(E316:F316)</f>
        <v>40716</v>
      </c>
      <c r="H316" s="202"/>
      <c r="I316" s="210"/>
      <c r="J316" s="210"/>
      <c r="K316" s="137">
        <f t="shared" si="321"/>
        <v>81432</v>
      </c>
      <c r="L316" s="137">
        <f t="shared" si="324"/>
        <v>40716</v>
      </c>
      <c r="M316" s="211">
        <v>1.1000000000000001</v>
      </c>
      <c r="N316" s="132"/>
      <c r="O316" s="132"/>
      <c r="P316" s="132"/>
      <c r="Q316" s="139">
        <f t="shared" si="327"/>
        <v>0</v>
      </c>
    </row>
    <row r="317" spans="1:17" ht="24" hidden="1" customHeight="1">
      <c r="A317" s="197"/>
      <c r="B317" s="995" t="s">
        <v>222</v>
      </c>
      <c r="C317" s="996"/>
      <c r="D317" s="204">
        <v>38023</v>
      </c>
      <c r="E317" s="203"/>
      <c r="F317" s="203"/>
      <c r="G317" s="193">
        <f>SUM(E317:F317)</f>
        <v>0</v>
      </c>
      <c r="H317" s="202">
        <f t="shared" ref="H317:H333" si="360">ROUND(F317*H$7,)</f>
        <v>0</v>
      </c>
      <c r="I317" s="210">
        <f>ROUND(F317*I$7,)</f>
        <v>0</v>
      </c>
      <c r="J317" s="210">
        <f>ROUND(F317*J$7,)</f>
        <v>0</v>
      </c>
      <c r="K317" s="145">
        <f t="shared" si="321"/>
        <v>0</v>
      </c>
      <c r="L317" s="145">
        <f t="shared" si="324"/>
        <v>0</v>
      </c>
      <c r="M317" s="211">
        <v>1.1000000000000001</v>
      </c>
      <c r="N317" s="5"/>
      <c r="O317" s="5"/>
      <c r="P317" s="5"/>
      <c r="Q317" s="139">
        <f t="shared" si="327"/>
        <v>0</v>
      </c>
    </row>
    <row r="318" spans="1:17" ht="12.75" hidden="1" customHeight="1">
      <c r="A318" s="989" t="s">
        <v>223</v>
      </c>
      <c r="B318" s="948"/>
      <c r="C318" s="948"/>
      <c r="D318" s="97" t="s">
        <v>224</v>
      </c>
      <c r="E318" s="98"/>
      <c r="F318" s="98"/>
      <c r="G318" s="205">
        <f>SUM(G319)</f>
        <v>0</v>
      </c>
      <c r="H318" s="206">
        <f t="shared" si="360"/>
        <v>0</v>
      </c>
      <c r="I318" s="212">
        <f>ROUND(G318*I$7,)</f>
        <v>0</v>
      </c>
      <c r="J318" s="212">
        <f>ROUND(H318*J$7,)</f>
        <v>0</v>
      </c>
      <c r="K318" s="145">
        <f t="shared" si="321"/>
        <v>0</v>
      </c>
      <c r="L318" s="145">
        <f t="shared" si="324"/>
        <v>0</v>
      </c>
      <c r="M318" s="5"/>
      <c r="N318" s="5"/>
      <c r="O318" s="5"/>
      <c r="P318" s="5"/>
      <c r="Q318" s="139">
        <f t="shared" si="327"/>
        <v>0</v>
      </c>
    </row>
    <row r="319" spans="1:17" ht="12.75" hidden="1" customHeight="1">
      <c r="A319" s="989" t="s">
        <v>225</v>
      </c>
      <c r="B319" s="948"/>
      <c r="C319" s="948"/>
      <c r="D319" s="97" t="s">
        <v>226</v>
      </c>
      <c r="E319" s="98"/>
      <c r="F319" s="98"/>
      <c r="G319" s="207">
        <f>SUM(G320)</f>
        <v>0</v>
      </c>
      <c r="H319" s="206">
        <f t="shared" si="360"/>
        <v>0</v>
      </c>
      <c r="I319" s="212">
        <f>ROUND(G319*I$7,)</f>
        <v>0</v>
      </c>
      <c r="J319" s="212">
        <f>ROUND(H319*J$7,)</f>
        <v>0</v>
      </c>
      <c r="K319" s="145">
        <f t="shared" si="321"/>
        <v>0</v>
      </c>
      <c r="L319" s="145">
        <f t="shared" si="324"/>
        <v>0</v>
      </c>
      <c r="M319" s="5"/>
      <c r="N319" s="5"/>
      <c r="O319" s="5"/>
      <c r="P319" s="5"/>
      <c r="Q319" s="139">
        <f t="shared" si="327"/>
        <v>0</v>
      </c>
    </row>
    <row r="320" spans="1:17" ht="12.75" hidden="1" customHeight="1">
      <c r="A320" s="189"/>
      <c r="B320" s="986" t="s">
        <v>227</v>
      </c>
      <c r="C320" s="957"/>
      <c r="D320" s="191" t="s">
        <v>228</v>
      </c>
      <c r="E320" s="192"/>
      <c r="F320" s="192"/>
      <c r="G320" s="193">
        <f>SUM(F320,E320)</f>
        <v>0</v>
      </c>
      <c r="H320" s="195">
        <f t="shared" si="360"/>
        <v>0</v>
      </c>
      <c r="I320" s="209">
        <f t="shared" ref="I320:J333" si="361">ROUND(H320*I$7,)</f>
        <v>0</v>
      </c>
      <c r="J320" s="209">
        <f t="shared" si="361"/>
        <v>0</v>
      </c>
      <c r="K320" s="145">
        <f t="shared" si="321"/>
        <v>0</v>
      </c>
      <c r="L320" s="145">
        <f t="shared" si="324"/>
        <v>0</v>
      </c>
      <c r="M320" s="5"/>
      <c r="N320" s="5"/>
      <c r="O320" s="5"/>
      <c r="P320" s="5"/>
      <c r="Q320" s="139">
        <f t="shared" si="327"/>
        <v>0</v>
      </c>
    </row>
    <row r="321" spans="1:17" ht="12.75" hidden="1" customHeight="1">
      <c r="A321" s="989" t="s">
        <v>229</v>
      </c>
      <c r="B321" s="948"/>
      <c r="C321" s="948"/>
      <c r="D321" s="97" t="s">
        <v>230</v>
      </c>
      <c r="E321" s="98"/>
      <c r="F321" s="98"/>
      <c r="G321" s="205">
        <f>SUM(G322)</f>
        <v>0</v>
      </c>
      <c r="H321" s="206">
        <f t="shared" si="360"/>
        <v>0</v>
      </c>
      <c r="I321" s="212">
        <f t="shared" si="361"/>
        <v>0</v>
      </c>
      <c r="J321" s="212">
        <f t="shared" si="361"/>
        <v>0</v>
      </c>
      <c r="K321" s="145">
        <f t="shared" si="321"/>
        <v>0</v>
      </c>
      <c r="L321" s="145">
        <f t="shared" si="324"/>
        <v>0</v>
      </c>
      <c r="M321" s="5"/>
      <c r="N321" s="5"/>
      <c r="O321" s="5"/>
      <c r="P321" s="5"/>
      <c r="Q321" s="139">
        <f t="shared" si="327"/>
        <v>0</v>
      </c>
    </row>
    <row r="322" spans="1:17" ht="12.75" hidden="1" customHeight="1">
      <c r="A322" s="189"/>
      <c r="B322" s="986" t="s">
        <v>231</v>
      </c>
      <c r="C322" s="957"/>
      <c r="D322" s="191" t="s">
        <v>232</v>
      </c>
      <c r="E322" s="192"/>
      <c r="F322" s="192"/>
      <c r="G322" s="193">
        <f>SUM(F322,E322)</f>
        <v>0</v>
      </c>
      <c r="H322" s="195">
        <f t="shared" si="360"/>
        <v>0</v>
      </c>
      <c r="I322" s="209">
        <f t="shared" si="361"/>
        <v>0</v>
      </c>
      <c r="J322" s="209">
        <f t="shared" si="361"/>
        <v>0</v>
      </c>
      <c r="K322" s="145">
        <f t="shared" si="321"/>
        <v>0</v>
      </c>
      <c r="L322" s="145">
        <f t="shared" si="324"/>
        <v>0</v>
      </c>
      <c r="M322" s="5"/>
      <c r="N322" s="5"/>
      <c r="O322" s="5"/>
      <c r="P322" s="5"/>
      <c r="Q322" s="139">
        <f t="shared" si="327"/>
        <v>0</v>
      </c>
    </row>
    <row r="323" spans="1:17" ht="12.75" hidden="1" customHeight="1">
      <c r="A323" s="989" t="s">
        <v>693</v>
      </c>
      <c r="B323" s="948"/>
      <c r="C323" s="948"/>
      <c r="D323" s="97" t="s">
        <v>234</v>
      </c>
      <c r="E323" s="98"/>
      <c r="F323" s="98"/>
      <c r="G323" s="205">
        <f>SUM(G324)</f>
        <v>0</v>
      </c>
      <c r="H323" s="206">
        <f t="shared" si="360"/>
        <v>0</v>
      </c>
      <c r="I323" s="212">
        <f t="shared" si="361"/>
        <v>0</v>
      </c>
      <c r="J323" s="212">
        <f t="shared" si="361"/>
        <v>0</v>
      </c>
      <c r="K323" s="145">
        <f t="shared" si="321"/>
        <v>0</v>
      </c>
      <c r="L323" s="145">
        <f t="shared" si="324"/>
        <v>0</v>
      </c>
      <c r="M323" s="5"/>
      <c r="N323" s="5"/>
      <c r="O323" s="5"/>
      <c r="P323" s="5"/>
      <c r="Q323" s="139">
        <f t="shared" si="327"/>
        <v>0</v>
      </c>
    </row>
    <row r="324" spans="1:17" ht="12.75" hidden="1" customHeight="1">
      <c r="A324" s="989" t="s">
        <v>235</v>
      </c>
      <c r="B324" s="948"/>
      <c r="C324" s="948"/>
      <c r="D324" s="97" t="s">
        <v>236</v>
      </c>
      <c r="E324" s="98"/>
      <c r="F324" s="98"/>
      <c r="G324" s="207">
        <f>SUM(G325,G328,G332:G333)</f>
        <v>0</v>
      </c>
      <c r="H324" s="206">
        <f t="shared" si="360"/>
        <v>0</v>
      </c>
      <c r="I324" s="212">
        <f t="shared" si="361"/>
        <v>0</v>
      </c>
      <c r="J324" s="212">
        <f t="shared" si="361"/>
        <v>0</v>
      </c>
      <c r="K324" s="145">
        <f t="shared" si="321"/>
        <v>0</v>
      </c>
      <c r="L324" s="145">
        <f t="shared" si="324"/>
        <v>0</v>
      </c>
      <c r="M324" s="5"/>
      <c r="N324" s="5"/>
      <c r="O324" s="5"/>
      <c r="P324" s="5"/>
      <c r="Q324" s="139">
        <f t="shared" si="327"/>
        <v>0</v>
      </c>
    </row>
    <row r="325" spans="1:17" ht="12.75" hidden="1" customHeight="1">
      <c r="A325" s="113"/>
      <c r="B325" s="993" t="s">
        <v>694</v>
      </c>
      <c r="C325" s="948"/>
      <c r="D325" s="102" t="s">
        <v>238</v>
      </c>
      <c r="E325" s="103"/>
      <c r="F325" s="103"/>
      <c r="G325" s="207">
        <f>SUM(G326:G327)</f>
        <v>0</v>
      </c>
      <c r="H325" s="213">
        <f t="shared" si="360"/>
        <v>0</v>
      </c>
      <c r="I325" s="240">
        <f t="shared" si="361"/>
        <v>0</v>
      </c>
      <c r="J325" s="240">
        <f t="shared" si="361"/>
        <v>0</v>
      </c>
      <c r="K325" s="145">
        <f t="shared" si="321"/>
        <v>0</v>
      </c>
      <c r="L325" s="145">
        <f t="shared" si="324"/>
        <v>0</v>
      </c>
      <c r="M325" s="5"/>
      <c r="N325" s="5"/>
      <c r="O325" s="5"/>
      <c r="P325" s="5"/>
      <c r="Q325" s="139">
        <f t="shared" si="327"/>
        <v>0</v>
      </c>
    </row>
    <row r="326" spans="1:17" ht="12.75" hidden="1" customHeight="1">
      <c r="A326" s="214"/>
      <c r="B326" s="215"/>
      <c r="C326" s="216" t="s">
        <v>239</v>
      </c>
      <c r="D326" s="217" t="s">
        <v>240</v>
      </c>
      <c r="E326" s="218"/>
      <c r="F326" s="218"/>
      <c r="G326" s="193">
        <f>SUM(F326,E326)</f>
        <v>0</v>
      </c>
      <c r="H326" s="219">
        <f t="shared" si="360"/>
        <v>0</v>
      </c>
      <c r="I326" s="241">
        <f t="shared" si="361"/>
        <v>0</v>
      </c>
      <c r="J326" s="241">
        <f t="shared" si="361"/>
        <v>0</v>
      </c>
      <c r="K326" s="145">
        <f t="shared" si="321"/>
        <v>0</v>
      </c>
      <c r="L326" s="145">
        <f t="shared" si="324"/>
        <v>0</v>
      </c>
      <c r="M326" s="5"/>
      <c r="N326" s="5"/>
      <c r="O326" s="5"/>
      <c r="P326" s="5"/>
      <c r="Q326" s="139">
        <f t="shared" si="327"/>
        <v>0</v>
      </c>
    </row>
    <row r="327" spans="1:17" ht="12.75" hidden="1" customHeight="1">
      <c r="A327" s="214"/>
      <c r="B327" s="215"/>
      <c r="C327" s="216" t="s">
        <v>241</v>
      </c>
      <c r="D327" s="217" t="s">
        <v>242</v>
      </c>
      <c r="E327" s="218"/>
      <c r="F327" s="218"/>
      <c r="G327" s="193">
        <f>SUM(F327,E327)</f>
        <v>0</v>
      </c>
      <c r="H327" s="219">
        <f t="shared" si="360"/>
        <v>0</v>
      </c>
      <c r="I327" s="241">
        <f t="shared" si="361"/>
        <v>0</v>
      </c>
      <c r="J327" s="241">
        <f t="shared" si="361"/>
        <v>0</v>
      </c>
      <c r="K327" s="145">
        <f t="shared" si="321"/>
        <v>0</v>
      </c>
      <c r="L327" s="145">
        <f t="shared" si="324"/>
        <v>0</v>
      </c>
      <c r="M327" s="5"/>
      <c r="N327" s="5"/>
      <c r="O327" s="5"/>
      <c r="P327" s="5"/>
      <c r="Q327" s="139">
        <f t="shared" si="327"/>
        <v>0</v>
      </c>
    </row>
    <row r="328" spans="1:17" ht="12.75" hidden="1" customHeight="1">
      <c r="A328" s="113"/>
      <c r="B328" s="993" t="s">
        <v>243</v>
      </c>
      <c r="C328" s="948"/>
      <c r="D328" s="102" t="s">
        <v>244</v>
      </c>
      <c r="E328" s="103"/>
      <c r="F328" s="103"/>
      <c r="G328" s="207">
        <f>SUM(G329:G331)</f>
        <v>0</v>
      </c>
      <c r="H328" s="213">
        <f t="shared" si="360"/>
        <v>0</v>
      </c>
      <c r="I328" s="240">
        <f t="shared" si="361"/>
        <v>0</v>
      </c>
      <c r="J328" s="240">
        <f t="shared" si="361"/>
        <v>0</v>
      </c>
      <c r="K328" s="145">
        <f t="shared" si="321"/>
        <v>0</v>
      </c>
      <c r="L328" s="145">
        <f t="shared" si="324"/>
        <v>0</v>
      </c>
      <c r="M328" s="5"/>
      <c r="N328" s="5"/>
      <c r="O328" s="5"/>
      <c r="P328" s="5"/>
      <c r="Q328" s="139">
        <f t="shared" si="327"/>
        <v>0</v>
      </c>
    </row>
    <row r="329" spans="1:17" ht="12.75" hidden="1" customHeight="1">
      <c r="A329" s="214"/>
      <c r="B329" s="215"/>
      <c r="C329" s="216" t="s">
        <v>245</v>
      </c>
      <c r="D329" s="217" t="s">
        <v>246</v>
      </c>
      <c r="E329" s="218"/>
      <c r="F329" s="218"/>
      <c r="G329" s="193">
        <f>SUM(F329,E329)</f>
        <v>0</v>
      </c>
      <c r="H329" s="219">
        <f t="shared" si="360"/>
        <v>0</v>
      </c>
      <c r="I329" s="241">
        <f t="shared" si="361"/>
        <v>0</v>
      </c>
      <c r="J329" s="241">
        <f t="shared" si="361"/>
        <v>0</v>
      </c>
      <c r="K329" s="145">
        <f t="shared" si="321"/>
        <v>0</v>
      </c>
      <c r="L329" s="145">
        <f t="shared" si="324"/>
        <v>0</v>
      </c>
      <c r="M329" s="5"/>
      <c r="N329" s="5"/>
      <c r="O329" s="5"/>
      <c r="P329" s="5"/>
      <c r="Q329" s="139">
        <f t="shared" si="327"/>
        <v>0</v>
      </c>
    </row>
    <row r="330" spans="1:17" ht="12.75" hidden="1" customHeight="1">
      <c r="A330" s="214"/>
      <c r="B330" s="215"/>
      <c r="C330" s="216" t="s">
        <v>247</v>
      </c>
      <c r="D330" s="217" t="s">
        <v>248</v>
      </c>
      <c r="E330" s="218"/>
      <c r="F330" s="218"/>
      <c r="G330" s="193">
        <f>SUM(F330,E330)</f>
        <v>0</v>
      </c>
      <c r="H330" s="219">
        <f t="shared" si="360"/>
        <v>0</v>
      </c>
      <c r="I330" s="241">
        <f t="shared" si="361"/>
        <v>0</v>
      </c>
      <c r="J330" s="241">
        <f t="shared" si="361"/>
        <v>0</v>
      </c>
      <c r="K330" s="145">
        <f t="shared" si="321"/>
        <v>0</v>
      </c>
      <c r="L330" s="145">
        <f t="shared" si="324"/>
        <v>0</v>
      </c>
      <c r="M330" s="5"/>
      <c r="N330" s="5"/>
      <c r="O330" s="5"/>
      <c r="P330" s="5"/>
      <c r="Q330" s="139">
        <f t="shared" si="327"/>
        <v>0</v>
      </c>
    </row>
    <row r="331" spans="1:17" ht="12.75" hidden="1" customHeight="1">
      <c r="A331" s="214"/>
      <c r="B331" s="215"/>
      <c r="C331" s="216" t="s">
        <v>249</v>
      </c>
      <c r="D331" s="217" t="s">
        <v>250</v>
      </c>
      <c r="E331" s="218"/>
      <c r="F331" s="218"/>
      <c r="G331" s="193">
        <f>SUM(F331,E331)</f>
        <v>0</v>
      </c>
      <c r="H331" s="219">
        <f t="shared" si="360"/>
        <v>0</v>
      </c>
      <c r="I331" s="241">
        <f t="shared" si="361"/>
        <v>0</v>
      </c>
      <c r="J331" s="241">
        <f t="shared" si="361"/>
        <v>0</v>
      </c>
      <c r="K331" s="145">
        <f t="shared" si="321"/>
        <v>0</v>
      </c>
      <c r="L331" s="145">
        <f t="shared" si="324"/>
        <v>0</v>
      </c>
      <c r="M331" s="5"/>
      <c r="N331" s="5"/>
      <c r="O331" s="5"/>
      <c r="P331" s="5"/>
      <c r="Q331" s="139">
        <f t="shared" si="327"/>
        <v>0</v>
      </c>
    </row>
    <row r="332" spans="1:17" ht="12.75" hidden="1" customHeight="1">
      <c r="A332" s="214"/>
      <c r="B332" s="986" t="s">
        <v>251</v>
      </c>
      <c r="C332" s="957"/>
      <c r="D332" s="191" t="s">
        <v>252</v>
      </c>
      <c r="E332" s="192"/>
      <c r="F332" s="192"/>
      <c r="G332" s="193">
        <f>SUM(F332,E332)</f>
        <v>0</v>
      </c>
      <c r="H332" s="195">
        <f t="shared" si="360"/>
        <v>0</v>
      </c>
      <c r="I332" s="209">
        <f t="shared" si="361"/>
        <v>0</v>
      </c>
      <c r="J332" s="209">
        <f t="shared" si="361"/>
        <v>0</v>
      </c>
      <c r="K332" s="145">
        <f t="shared" si="321"/>
        <v>0</v>
      </c>
      <c r="L332" s="145">
        <f t="shared" si="324"/>
        <v>0</v>
      </c>
      <c r="M332" s="5"/>
      <c r="N332" s="5"/>
      <c r="O332" s="5"/>
      <c r="P332" s="5"/>
      <c r="Q332" s="139">
        <f t="shared" si="327"/>
        <v>0</v>
      </c>
    </row>
    <row r="333" spans="1:17" ht="12.75" hidden="1" customHeight="1">
      <c r="A333" s="214"/>
      <c r="B333" s="986" t="s">
        <v>253</v>
      </c>
      <c r="C333" s="957"/>
      <c r="D333" s="191" t="s">
        <v>254</v>
      </c>
      <c r="E333" s="192"/>
      <c r="F333" s="192"/>
      <c r="G333" s="193">
        <f>SUM(F333,E333)</f>
        <v>0</v>
      </c>
      <c r="H333" s="195">
        <f t="shared" si="360"/>
        <v>0</v>
      </c>
      <c r="I333" s="209">
        <f t="shared" si="361"/>
        <v>0</v>
      </c>
      <c r="J333" s="209">
        <f t="shared" si="361"/>
        <v>0</v>
      </c>
      <c r="K333" s="145">
        <f t="shared" si="321"/>
        <v>0</v>
      </c>
      <c r="L333" s="145">
        <f t="shared" si="324"/>
        <v>0</v>
      </c>
      <c r="M333" s="5"/>
      <c r="N333" s="5"/>
      <c r="O333" s="5"/>
      <c r="P333" s="5"/>
      <c r="Q333" s="139">
        <f t="shared" si="327"/>
        <v>0</v>
      </c>
    </row>
    <row r="334" spans="1:17" ht="12.75" customHeight="1">
      <c r="A334" s="990" t="s">
        <v>695</v>
      </c>
      <c r="B334" s="948"/>
      <c r="C334" s="948"/>
      <c r="D334" s="92" t="s">
        <v>256</v>
      </c>
      <c r="E334" s="93">
        <f t="shared" ref="E334:F334" si="362">SUM(E335,E358,E360,E363)</f>
        <v>102976.1</v>
      </c>
      <c r="F334" s="93">
        <f t="shared" si="362"/>
        <v>0</v>
      </c>
      <c r="G334" s="94">
        <f t="shared" ref="G334:J334" si="363">SUM(G335,G358,G360,G363)</f>
        <v>102976.1</v>
      </c>
      <c r="H334" s="96">
        <f t="shared" si="363"/>
        <v>45978</v>
      </c>
      <c r="I334" s="141">
        <f t="shared" si="363"/>
        <v>46471</v>
      </c>
      <c r="J334" s="141">
        <f t="shared" si="363"/>
        <v>46918</v>
      </c>
      <c r="K334" s="137">
        <f t="shared" si="321"/>
        <v>205952.2</v>
      </c>
      <c r="L334" s="137">
        <f t="shared" si="324"/>
        <v>102976.1</v>
      </c>
      <c r="M334" s="132"/>
      <c r="N334" s="132"/>
      <c r="O334" s="132"/>
      <c r="P334" s="132"/>
      <c r="Q334" s="139">
        <f t="shared" si="327"/>
        <v>0</v>
      </c>
    </row>
    <row r="335" spans="1:17" ht="12.75" customHeight="1">
      <c r="A335" s="990" t="s">
        <v>44</v>
      </c>
      <c r="B335" s="948"/>
      <c r="C335" s="948"/>
      <c r="D335" s="92" t="s">
        <v>257</v>
      </c>
      <c r="E335" s="93">
        <f t="shared" ref="E335:F335" si="364">SUM(E336,E355,E356,E357)</f>
        <v>101379</v>
      </c>
      <c r="F335" s="93">
        <f t="shared" si="364"/>
        <v>0</v>
      </c>
      <c r="G335" s="94">
        <f t="shared" ref="G335:J335" si="365">SUM(G336,G355,G356,G357)</f>
        <v>101379</v>
      </c>
      <c r="H335" s="96">
        <f t="shared" si="365"/>
        <v>45978</v>
      </c>
      <c r="I335" s="141">
        <f t="shared" si="365"/>
        <v>46471</v>
      </c>
      <c r="J335" s="141">
        <f t="shared" si="365"/>
        <v>46918</v>
      </c>
      <c r="K335" s="137">
        <f t="shared" si="321"/>
        <v>202758</v>
      </c>
      <c r="L335" s="137">
        <f t="shared" si="324"/>
        <v>101379</v>
      </c>
      <c r="M335" s="132"/>
      <c r="N335" s="132"/>
      <c r="O335" s="132"/>
      <c r="P335" s="132"/>
      <c r="Q335" s="139">
        <f t="shared" si="327"/>
        <v>0</v>
      </c>
    </row>
    <row r="336" spans="1:17" ht="39" customHeight="1">
      <c r="A336" s="119"/>
      <c r="B336" s="994" t="s">
        <v>258</v>
      </c>
      <c r="C336" s="948"/>
      <c r="D336" s="108" t="s">
        <v>259</v>
      </c>
      <c r="E336" s="109">
        <f>SUM(E337,E338,E340,E348,E349,E352:E353,E354,E339,E350:E351)</f>
        <v>59919</v>
      </c>
      <c r="F336" s="109">
        <f>SUM(F337,F338,F340,F348,F349,F352:F353,F354,F339,F350:F351)</f>
        <v>0</v>
      </c>
      <c r="G336" s="110">
        <f>SUM(G337,G338,G340,G348,G349,G352:G353,G354,G339,G350:G351)</f>
        <v>59919</v>
      </c>
      <c r="H336" s="105">
        <f>SUM(H337,H338,H340,H348,H349,H352,H354)</f>
        <v>28553</v>
      </c>
      <c r="I336" s="146">
        <f>SUM(I337,I338,I340,I348,I349,I352,I354)</f>
        <v>28553</v>
      </c>
      <c r="J336" s="146">
        <f>SUM(J337,J338,J340,J348,J349,J352,J354)</f>
        <v>28553</v>
      </c>
      <c r="K336" s="137">
        <f t="shared" si="321"/>
        <v>119838</v>
      </c>
      <c r="L336" s="137">
        <f t="shared" si="324"/>
        <v>59919</v>
      </c>
      <c r="M336" s="132"/>
      <c r="N336" s="132"/>
      <c r="O336" s="132"/>
      <c r="P336" s="132"/>
      <c r="Q336" s="139">
        <f t="shared" si="327"/>
        <v>0</v>
      </c>
    </row>
    <row r="337" spans="1:17" ht="39.75" customHeight="1">
      <c r="A337" s="220"/>
      <c r="B337" s="221"/>
      <c r="C337" s="198" t="s">
        <v>260</v>
      </c>
      <c r="D337" s="199"/>
      <c r="E337" s="200">
        <v>26238</v>
      </c>
      <c r="F337" s="200"/>
      <c r="G337" s="222">
        <f>SUM(E337:F337)</f>
        <v>26238</v>
      </c>
      <c r="H337" s="202">
        <v>10543</v>
      </c>
      <c r="I337" s="210">
        <v>10543</v>
      </c>
      <c r="J337" s="210">
        <v>10543</v>
      </c>
      <c r="K337" s="137">
        <f t="shared" si="321"/>
        <v>52476</v>
      </c>
      <c r="L337" s="137">
        <f t="shared" si="324"/>
        <v>26238</v>
      </c>
      <c r="M337" s="148"/>
      <c r="N337" s="148">
        <f>G337+G338+F357+6184</f>
        <v>50551</v>
      </c>
      <c r="O337" s="148"/>
      <c r="P337" s="148"/>
      <c r="Q337" s="139">
        <f t="shared" ref="Q337:Q400" si="366">E337-G337</f>
        <v>0</v>
      </c>
    </row>
    <row r="338" spans="1:17" ht="39" customHeight="1">
      <c r="A338" s="220"/>
      <c r="B338" s="221"/>
      <c r="C338" s="198" t="s">
        <v>261</v>
      </c>
      <c r="D338" s="199"/>
      <c r="E338" s="200">
        <v>18129</v>
      </c>
      <c r="F338" s="200"/>
      <c r="G338" s="222">
        <f>SUM(E338:F338)</f>
        <v>18129</v>
      </c>
      <c r="H338" s="202">
        <v>9993</v>
      </c>
      <c r="I338" s="210">
        <v>9993</v>
      </c>
      <c r="J338" s="210">
        <v>9993</v>
      </c>
      <c r="K338" s="137">
        <f t="shared" si="321"/>
        <v>36258</v>
      </c>
      <c r="L338" s="137">
        <f t="shared" si="324"/>
        <v>18129</v>
      </c>
      <c r="M338" s="148"/>
      <c r="N338" s="148"/>
      <c r="O338" s="148"/>
      <c r="P338" s="148"/>
      <c r="Q338" s="139">
        <f t="shared" si="366"/>
        <v>0</v>
      </c>
    </row>
    <row r="339" spans="1:17" ht="39" customHeight="1">
      <c r="A339" s="220"/>
      <c r="B339" s="221"/>
      <c r="C339" s="198" t="s">
        <v>262</v>
      </c>
      <c r="D339" s="199"/>
      <c r="E339" s="200">
        <v>3432</v>
      </c>
      <c r="F339" s="200"/>
      <c r="G339" s="223">
        <f>SUM(E339:F339)</f>
        <v>3432</v>
      </c>
      <c r="H339" s="202">
        <v>9993</v>
      </c>
      <c r="I339" s="210">
        <v>9993</v>
      </c>
      <c r="J339" s="210">
        <v>9993</v>
      </c>
      <c r="K339" s="145">
        <f t="shared" si="321"/>
        <v>6864</v>
      </c>
      <c r="L339" s="145">
        <f t="shared" si="324"/>
        <v>3432</v>
      </c>
      <c r="M339" s="149"/>
      <c r="N339" s="149"/>
      <c r="O339" s="149"/>
      <c r="P339" s="149"/>
      <c r="Q339" s="139">
        <f t="shared" si="366"/>
        <v>0</v>
      </c>
    </row>
    <row r="340" spans="1:17" ht="56.25" customHeight="1">
      <c r="A340" s="220"/>
      <c r="B340" s="221"/>
      <c r="C340" s="198" t="s">
        <v>263</v>
      </c>
      <c r="D340" s="199"/>
      <c r="E340" s="200">
        <f t="shared" ref="E340:G340" si="367">SUM(E341:E344,E347)</f>
        <v>1612</v>
      </c>
      <c r="F340" s="200">
        <f t="shared" si="367"/>
        <v>0</v>
      </c>
      <c r="G340" s="222">
        <f t="shared" si="367"/>
        <v>1612</v>
      </c>
      <c r="H340" s="224">
        <f t="shared" ref="H340:J341" si="368">SUBTOTAL(9,H342:H343)</f>
        <v>0</v>
      </c>
      <c r="I340" s="242">
        <f t="shared" si="368"/>
        <v>0</v>
      </c>
      <c r="J340" s="242">
        <f t="shared" si="368"/>
        <v>0</v>
      </c>
      <c r="K340" s="137">
        <f t="shared" si="321"/>
        <v>3224</v>
      </c>
      <c r="L340" s="137">
        <f t="shared" si="324"/>
        <v>1612</v>
      </c>
      <c r="M340" s="148"/>
      <c r="N340" s="148"/>
      <c r="O340" s="148"/>
      <c r="P340" s="148"/>
      <c r="Q340" s="139">
        <f t="shared" si="366"/>
        <v>0</v>
      </c>
    </row>
    <row r="341" spans="1:17" ht="38.25" hidden="1" customHeight="1">
      <c r="A341" s="220"/>
      <c r="B341" s="221"/>
      <c r="C341" s="198" t="s">
        <v>696</v>
      </c>
      <c r="D341" s="199"/>
      <c r="E341" s="200"/>
      <c r="F341" s="200"/>
      <c r="G341" s="222">
        <f t="shared" ref="G341:G357" si="369">SUM(E341:F341)</f>
        <v>0</v>
      </c>
      <c r="H341" s="224">
        <f t="shared" si="368"/>
        <v>0</v>
      </c>
      <c r="I341" s="242">
        <f t="shared" si="368"/>
        <v>0</v>
      </c>
      <c r="J341" s="242">
        <f t="shared" si="368"/>
        <v>0</v>
      </c>
      <c r="K341" s="137">
        <v>0</v>
      </c>
      <c r="L341" s="137">
        <v>0</v>
      </c>
      <c r="M341" s="148"/>
      <c r="N341" s="148"/>
      <c r="O341" s="148"/>
      <c r="P341" s="148"/>
      <c r="Q341" s="139">
        <f t="shared" si="366"/>
        <v>0</v>
      </c>
    </row>
    <row r="342" spans="1:17" ht="42" hidden="1" customHeight="1">
      <c r="A342" s="214"/>
      <c r="B342" s="225"/>
      <c r="C342" s="190" t="s">
        <v>697</v>
      </c>
      <c r="D342" s="226"/>
      <c r="E342" s="192"/>
      <c r="F342" s="192"/>
      <c r="G342" s="223">
        <f t="shared" si="369"/>
        <v>0</v>
      </c>
      <c r="H342" s="227">
        <v>286</v>
      </c>
      <c r="I342" s="243">
        <v>294</v>
      </c>
      <c r="J342" s="243">
        <v>385</v>
      </c>
      <c r="K342" s="145">
        <f t="shared" si="321"/>
        <v>0</v>
      </c>
      <c r="L342" s="145">
        <f t="shared" si="324"/>
        <v>0</v>
      </c>
      <c r="M342" s="149"/>
      <c r="N342" s="149"/>
      <c r="O342" s="149"/>
      <c r="P342" s="149"/>
      <c r="Q342" s="139">
        <f t="shared" si="366"/>
        <v>0</v>
      </c>
    </row>
    <row r="343" spans="1:17" ht="38.25" customHeight="1">
      <c r="A343" s="214"/>
      <c r="B343" s="225"/>
      <c r="C343" s="190" t="s">
        <v>266</v>
      </c>
      <c r="D343" s="226"/>
      <c r="E343" s="192">
        <v>1612</v>
      </c>
      <c r="F343" s="192"/>
      <c r="G343" s="223">
        <f t="shared" si="369"/>
        <v>1612</v>
      </c>
      <c r="H343" s="227"/>
      <c r="I343" s="243"/>
      <c r="J343" s="243"/>
      <c r="K343" s="145">
        <f t="shared" si="321"/>
        <v>3224</v>
      </c>
      <c r="L343" s="145">
        <f t="shared" si="324"/>
        <v>1612</v>
      </c>
      <c r="M343" s="149"/>
      <c r="N343" s="149"/>
      <c r="O343" s="149"/>
      <c r="P343" s="149"/>
      <c r="Q343" s="139">
        <f t="shared" si="366"/>
        <v>0</v>
      </c>
    </row>
    <row r="344" spans="1:17" ht="12.75" hidden="1" customHeight="1">
      <c r="A344" s="214"/>
      <c r="B344" s="225"/>
      <c r="C344" s="190" t="s">
        <v>698</v>
      </c>
      <c r="D344" s="226"/>
      <c r="E344" s="192"/>
      <c r="F344" s="192"/>
      <c r="G344" s="228">
        <f t="shared" si="369"/>
        <v>0</v>
      </c>
      <c r="H344" s="227"/>
      <c r="I344" s="243"/>
      <c r="J344" s="243"/>
      <c r="K344" s="145">
        <f t="shared" si="321"/>
        <v>0</v>
      </c>
      <c r="L344" s="145">
        <f t="shared" si="324"/>
        <v>0</v>
      </c>
      <c r="M344" s="149"/>
      <c r="N344" s="149"/>
      <c r="O344" s="149"/>
      <c r="P344" s="149"/>
      <c r="Q344" s="139">
        <f t="shared" si="366"/>
        <v>0</v>
      </c>
    </row>
    <row r="345" spans="1:17" ht="63.75" hidden="1" customHeight="1">
      <c r="A345" s="229"/>
      <c r="B345" s="230"/>
      <c r="C345" s="231" t="s">
        <v>268</v>
      </c>
      <c r="D345" s="232"/>
      <c r="E345" s="233"/>
      <c r="F345" s="233"/>
      <c r="G345" s="228">
        <f t="shared" si="369"/>
        <v>0</v>
      </c>
      <c r="H345" s="234"/>
      <c r="I345" s="244"/>
      <c r="J345" s="244"/>
      <c r="K345" s="145">
        <f t="shared" si="321"/>
        <v>0</v>
      </c>
      <c r="L345" s="145">
        <f t="shared" si="324"/>
        <v>0</v>
      </c>
      <c r="M345" s="151"/>
      <c r="N345" s="151"/>
      <c r="O345" s="151"/>
      <c r="P345" s="151"/>
      <c r="Q345" s="139">
        <f t="shared" si="366"/>
        <v>0</v>
      </c>
    </row>
    <row r="346" spans="1:17" ht="38.25" hidden="1" customHeight="1">
      <c r="A346" s="229"/>
      <c r="B346" s="230"/>
      <c r="C346" s="231" t="s">
        <v>269</v>
      </c>
      <c r="D346" s="232"/>
      <c r="E346" s="233"/>
      <c r="F346" s="233"/>
      <c r="G346" s="228">
        <f t="shared" si="369"/>
        <v>0</v>
      </c>
      <c r="H346" s="234"/>
      <c r="I346" s="244"/>
      <c r="J346" s="244"/>
      <c r="K346" s="153">
        <f t="shared" si="321"/>
        <v>0</v>
      </c>
      <c r="L346" s="153">
        <f t="shared" si="324"/>
        <v>0</v>
      </c>
      <c r="M346" s="151"/>
      <c r="N346" s="151"/>
      <c r="O346" s="151"/>
      <c r="P346" s="151"/>
      <c r="Q346" s="139">
        <f t="shared" si="366"/>
        <v>0</v>
      </c>
    </row>
    <row r="347" spans="1:17" ht="38.25" hidden="1" customHeight="1">
      <c r="A347" s="229"/>
      <c r="B347" s="230"/>
      <c r="C347" s="190" t="s">
        <v>270</v>
      </c>
      <c r="D347" s="232"/>
      <c r="E347" s="233"/>
      <c r="F347" s="233"/>
      <c r="G347" s="228">
        <f t="shared" si="369"/>
        <v>0</v>
      </c>
      <c r="H347" s="234"/>
      <c r="I347" s="244"/>
      <c r="J347" s="244"/>
      <c r="K347" s="153">
        <f t="shared" si="321"/>
        <v>0</v>
      </c>
      <c r="L347" s="153">
        <f t="shared" si="324"/>
        <v>0</v>
      </c>
      <c r="M347" s="151"/>
      <c r="N347" s="151"/>
      <c r="O347" s="151"/>
      <c r="P347" s="151"/>
      <c r="Q347" s="139">
        <f t="shared" si="366"/>
        <v>0</v>
      </c>
    </row>
    <row r="348" spans="1:17" ht="38.25" hidden="1" customHeight="1">
      <c r="A348" s="214"/>
      <c r="B348" s="225"/>
      <c r="C348" s="190" t="s">
        <v>271</v>
      </c>
      <c r="D348" s="226"/>
      <c r="E348" s="192"/>
      <c r="F348" s="192"/>
      <c r="G348" s="223">
        <f t="shared" si="369"/>
        <v>0</v>
      </c>
      <c r="H348" s="202">
        <v>8017</v>
      </c>
      <c r="I348" s="210">
        <v>8017</v>
      </c>
      <c r="J348" s="210">
        <v>8017</v>
      </c>
      <c r="K348" s="145">
        <f t="shared" si="321"/>
        <v>0</v>
      </c>
      <c r="L348" s="145">
        <f t="shared" si="324"/>
        <v>0</v>
      </c>
      <c r="M348" s="149"/>
      <c r="N348" s="149"/>
      <c r="O348" s="149"/>
      <c r="P348" s="149"/>
      <c r="Q348" s="139">
        <f t="shared" si="366"/>
        <v>0</v>
      </c>
    </row>
    <row r="349" spans="1:17" ht="38.25" hidden="1" customHeight="1">
      <c r="A349" s="220"/>
      <c r="B349" s="221"/>
      <c r="C349" s="198" t="s">
        <v>699</v>
      </c>
      <c r="D349" s="199"/>
      <c r="E349" s="200"/>
      <c r="F349" s="200"/>
      <c r="G349" s="222">
        <f t="shared" si="369"/>
        <v>0</v>
      </c>
      <c r="H349" s="202"/>
      <c r="I349" s="210"/>
      <c r="J349" s="210"/>
      <c r="K349" s="137">
        <f t="shared" si="321"/>
        <v>0</v>
      </c>
      <c r="L349" s="137">
        <f t="shared" si="324"/>
        <v>0</v>
      </c>
      <c r="M349" s="148"/>
      <c r="N349" s="148"/>
      <c r="O349" s="148"/>
      <c r="P349" s="148"/>
      <c r="Q349" s="139">
        <f t="shared" si="366"/>
        <v>0</v>
      </c>
    </row>
    <row r="350" spans="1:17" ht="25.5" customHeight="1">
      <c r="A350" s="220"/>
      <c r="B350" s="221"/>
      <c r="C350" s="198" t="s">
        <v>273</v>
      </c>
      <c r="D350" s="199"/>
      <c r="E350" s="200">
        <v>8081</v>
      </c>
      <c r="F350" s="200"/>
      <c r="G350" s="222">
        <f t="shared" si="369"/>
        <v>8081</v>
      </c>
      <c r="H350" s="202"/>
      <c r="I350" s="210"/>
      <c r="J350" s="210"/>
      <c r="K350" s="137">
        <f t="shared" si="321"/>
        <v>16162</v>
      </c>
      <c r="L350" s="137">
        <f t="shared" si="324"/>
        <v>8081</v>
      </c>
      <c r="M350" s="148"/>
      <c r="N350" s="148"/>
      <c r="O350" s="148"/>
      <c r="P350" s="148"/>
      <c r="Q350" s="139">
        <f t="shared" si="366"/>
        <v>0</v>
      </c>
    </row>
    <row r="351" spans="1:17" ht="25.5" customHeight="1">
      <c r="A351" s="220"/>
      <c r="B351" s="221"/>
      <c r="C351" s="198" t="s">
        <v>274</v>
      </c>
      <c r="D351" s="199"/>
      <c r="E351" s="200">
        <v>2427</v>
      </c>
      <c r="F351" s="200"/>
      <c r="G351" s="222">
        <f t="shared" si="369"/>
        <v>2427</v>
      </c>
      <c r="H351" s="202"/>
      <c r="I351" s="210"/>
      <c r="J351" s="210"/>
      <c r="K351" s="137">
        <f t="shared" si="321"/>
        <v>4854</v>
      </c>
      <c r="L351" s="137">
        <f t="shared" si="324"/>
        <v>2427</v>
      </c>
      <c r="M351" s="148"/>
      <c r="N351" s="148"/>
      <c r="O351" s="148"/>
      <c r="P351" s="148"/>
      <c r="Q351" s="139">
        <f t="shared" si="366"/>
        <v>0</v>
      </c>
    </row>
    <row r="352" spans="1:17" ht="38.25" hidden="1" customHeight="1">
      <c r="A352" s="220"/>
      <c r="B352" s="221"/>
      <c r="C352" s="198" t="s">
        <v>275</v>
      </c>
      <c r="D352" s="199"/>
      <c r="E352" s="200"/>
      <c r="F352" s="200"/>
      <c r="G352" s="222">
        <f t="shared" si="369"/>
        <v>0</v>
      </c>
      <c r="H352" s="202"/>
      <c r="I352" s="210"/>
      <c r="J352" s="210"/>
      <c r="K352" s="137">
        <f t="shared" si="321"/>
        <v>0</v>
      </c>
      <c r="L352" s="137">
        <f t="shared" si="324"/>
        <v>0</v>
      </c>
      <c r="M352" s="148"/>
      <c r="N352" s="148"/>
      <c r="O352" s="148"/>
      <c r="P352" s="148"/>
      <c r="Q352" s="139">
        <f t="shared" si="366"/>
        <v>0</v>
      </c>
    </row>
    <row r="353" spans="1:17" ht="51" hidden="1">
      <c r="A353" s="220"/>
      <c r="B353" s="221"/>
      <c r="C353" s="198" t="s">
        <v>276</v>
      </c>
      <c r="D353" s="199"/>
      <c r="E353" s="200"/>
      <c r="F353" s="200"/>
      <c r="G353" s="222">
        <f t="shared" si="369"/>
        <v>0</v>
      </c>
      <c r="H353" s="202"/>
      <c r="I353" s="210"/>
      <c r="J353" s="210"/>
      <c r="K353" s="137">
        <f t="shared" si="321"/>
        <v>0</v>
      </c>
      <c r="L353" s="137">
        <f t="shared" si="324"/>
        <v>0</v>
      </c>
      <c r="M353" s="148"/>
      <c r="N353" s="148"/>
      <c r="O353" s="148"/>
      <c r="P353" s="148"/>
      <c r="Q353" s="139">
        <f t="shared" si="366"/>
        <v>0</v>
      </c>
    </row>
    <row r="354" spans="1:17" ht="38.25" hidden="1" customHeight="1">
      <c r="A354" s="214"/>
      <c r="B354" s="225"/>
      <c r="C354" s="190" t="s">
        <v>277</v>
      </c>
      <c r="D354" s="191"/>
      <c r="E354" s="192"/>
      <c r="F354" s="192"/>
      <c r="G354" s="223">
        <f t="shared" si="369"/>
        <v>0</v>
      </c>
      <c r="H354" s="202"/>
      <c r="I354" s="210"/>
      <c r="J354" s="210"/>
      <c r="K354" s="145">
        <f t="shared" si="321"/>
        <v>0</v>
      </c>
      <c r="L354" s="145">
        <f t="shared" si="324"/>
        <v>0</v>
      </c>
      <c r="M354" s="149"/>
      <c r="N354" s="149"/>
      <c r="O354" s="149"/>
      <c r="P354" s="149"/>
      <c r="Q354" s="139">
        <f t="shared" si="366"/>
        <v>0</v>
      </c>
    </row>
    <row r="355" spans="1:17" ht="38.25" hidden="1" customHeight="1">
      <c r="A355" s="214"/>
      <c r="B355" s="986" t="s">
        <v>278</v>
      </c>
      <c r="C355" s="957"/>
      <c r="D355" s="191" t="s">
        <v>279</v>
      </c>
      <c r="E355" s="192"/>
      <c r="F355" s="192"/>
      <c r="G355" s="223">
        <f t="shared" si="369"/>
        <v>0</v>
      </c>
      <c r="H355" s="195"/>
      <c r="I355" s="209"/>
      <c r="J355" s="209"/>
      <c r="K355" s="145">
        <f t="shared" si="321"/>
        <v>0</v>
      </c>
      <c r="L355" s="145">
        <f t="shared" si="324"/>
        <v>0</v>
      </c>
      <c r="M355" s="5"/>
      <c r="N355" s="5"/>
      <c r="O355" s="5"/>
      <c r="P355" s="5"/>
      <c r="Q355" s="139">
        <f t="shared" si="366"/>
        <v>0</v>
      </c>
    </row>
    <row r="356" spans="1:17" ht="26.25" customHeight="1">
      <c r="A356" s="220"/>
      <c r="B356" s="988" t="s">
        <v>280</v>
      </c>
      <c r="C356" s="957"/>
      <c r="D356" s="199" t="s">
        <v>281</v>
      </c>
      <c r="E356" s="200">
        <v>16267</v>
      </c>
      <c r="F356" s="200"/>
      <c r="G356" s="222">
        <f t="shared" si="369"/>
        <v>16267</v>
      </c>
      <c r="H356" s="202">
        <v>7835</v>
      </c>
      <c r="I356" s="210">
        <v>8054</v>
      </c>
      <c r="J356" s="210">
        <v>8255</v>
      </c>
      <c r="K356" s="137">
        <f t="shared" si="321"/>
        <v>32534</v>
      </c>
      <c r="L356" s="137">
        <f t="shared" si="324"/>
        <v>16267</v>
      </c>
      <c r="M356" s="132"/>
      <c r="N356" s="132" t="s">
        <v>700</v>
      </c>
      <c r="O356" s="132">
        <f>527+193+30+102</f>
        <v>852</v>
      </c>
      <c r="P356" s="132"/>
      <c r="Q356" s="139">
        <f t="shared" si="366"/>
        <v>0</v>
      </c>
    </row>
    <row r="357" spans="1:17" ht="25.5" customHeight="1">
      <c r="A357" s="220"/>
      <c r="B357" s="988" t="s">
        <v>282</v>
      </c>
      <c r="C357" s="957"/>
      <c r="D357" s="199" t="s">
        <v>283</v>
      </c>
      <c r="E357" s="200">
        <f>15765+9428</f>
        <v>25193</v>
      </c>
      <c r="F357" s="200"/>
      <c r="G357" s="222">
        <f t="shared" si="369"/>
        <v>25193</v>
      </c>
      <c r="H357" s="202">
        <v>9590</v>
      </c>
      <c r="I357" s="210">
        <v>9864</v>
      </c>
      <c r="J357" s="210">
        <v>10110</v>
      </c>
      <c r="K357" s="137">
        <f t="shared" si="321"/>
        <v>50386</v>
      </c>
      <c r="L357" s="137">
        <f t="shared" si="324"/>
        <v>25193</v>
      </c>
      <c r="M357" s="132"/>
      <c r="N357" s="132" t="s">
        <v>701</v>
      </c>
      <c r="O357" s="132">
        <f>148+100+200+50+50</f>
        <v>548</v>
      </c>
      <c r="P357" s="132"/>
      <c r="Q357" s="139">
        <f t="shared" si="366"/>
        <v>0</v>
      </c>
    </row>
    <row r="358" spans="1:17" ht="12.75" hidden="1" customHeight="1">
      <c r="A358" s="989" t="s">
        <v>286</v>
      </c>
      <c r="B358" s="948"/>
      <c r="C358" s="948"/>
      <c r="D358" s="97" t="s">
        <v>287</v>
      </c>
      <c r="E358" s="98">
        <f t="shared" ref="E358:F358" si="370">SUM(E359)</f>
        <v>0</v>
      </c>
      <c r="F358" s="98">
        <f t="shared" si="370"/>
        <v>0</v>
      </c>
      <c r="G358" s="99">
        <f t="shared" ref="G358:J358" si="371">SUM(G359)</f>
        <v>0</v>
      </c>
      <c r="H358" s="96">
        <f t="shared" si="371"/>
        <v>0</v>
      </c>
      <c r="I358" s="141">
        <f t="shared" si="371"/>
        <v>0</v>
      </c>
      <c r="J358" s="141">
        <f t="shared" si="371"/>
        <v>0</v>
      </c>
      <c r="K358" s="145">
        <f t="shared" si="321"/>
        <v>0</v>
      </c>
      <c r="L358" s="145">
        <f t="shared" si="324"/>
        <v>0</v>
      </c>
      <c r="M358" s="5"/>
      <c r="N358" s="5"/>
      <c r="O358" s="5"/>
      <c r="P358" s="5"/>
      <c r="Q358" s="139">
        <f t="shared" si="366"/>
        <v>0</v>
      </c>
    </row>
    <row r="359" spans="1:17" ht="12.75" hidden="1" customHeight="1">
      <c r="A359" s="196"/>
      <c r="B359" s="986" t="s">
        <v>288</v>
      </c>
      <c r="C359" s="957"/>
      <c r="D359" s="191" t="s">
        <v>289</v>
      </c>
      <c r="E359" s="192"/>
      <c r="F359" s="192"/>
      <c r="G359" s="193">
        <f>SUM(F359,E359)</f>
        <v>0</v>
      </c>
      <c r="H359" s="195">
        <f>ROUND(F359*H$7,)</f>
        <v>0</v>
      </c>
      <c r="I359" s="209">
        <f>ROUND(H359*I$7,)</f>
        <v>0</v>
      </c>
      <c r="J359" s="209">
        <f>ROUND(I359*J$7,)</f>
        <v>0</v>
      </c>
      <c r="K359" s="145">
        <f t="shared" si="321"/>
        <v>0</v>
      </c>
      <c r="L359" s="145">
        <f t="shared" si="324"/>
        <v>0</v>
      </c>
      <c r="M359" s="5"/>
      <c r="N359" s="5"/>
      <c r="O359" s="5"/>
      <c r="P359" s="5"/>
      <c r="Q359" s="139">
        <f t="shared" si="366"/>
        <v>0</v>
      </c>
    </row>
    <row r="360" spans="1:17" ht="12.75" hidden="1" customHeight="1">
      <c r="A360" s="989" t="s">
        <v>48</v>
      </c>
      <c r="B360" s="948"/>
      <c r="C360" s="948"/>
      <c r="D360" s="97" t="s">
        <v>290</v>
      </c>
      <c r="E360" s="98">
        <f t="shared" ref="E360:F360" si="372">SUM(E361:E362)</f>
        <v>0</v>
      </c>
      <c r="F360" s="98">
        <f t="shared" si="372"/>
        <v>0</v>
      </c>
      <c r="G360" s="99">
        <f t="shared" ref="G360:J360" si="373">SUM(G361:G362)</f>
        <v>0</v>
      </c>
      <c r="H360" s="96">
        <f t="shared" si="373"/>
        <v>0</v>
      </c>
      <c r="I360" s="141">
        <f t="shared" si="373"/>
        <v>0</v>
      </c>
      <c r="J360" s="141">
        <f t="shared" si="373"/>
        <v>0</v>
      </c>
      <c r="K360" s="145">
        <f t="shared" si="321"/>
        <v>0</v>
      </c>
      <c r="L360" s="145">
        <f t="shared" si="324"/>
        <v>0</v>
      </c>
      <c r="M360" s="5"/>
      <c r="N360" s="5"/>
      <c r="O360" s="5"/>
      <c r="P360" s="5"/>
      <c r="Q360" s="139">
        <f t="shared" si="366"/>
        <v>0</v>
      </c>
    </row>
    <row r="361" spans="1:17" ht="12.75" hidden="1" customHeight="1">
      <c r="A361" s="214"/>
      <c r="B361" s="986" t="s">
        <v>291</v>
      </c>
      <c r="C361" s="957"/>
      <c r="D361" s="191" t="s">
        <v>292</v>
      </c>
      <c r="E361" s="192"/>
      <c r="F361" s="192"/>
      <c r="G361" s="193">
        <f>SUM(F361,E361)</f>
        <v>0</v>
      </c>
      <c r="H361" s="195">
        <f>ROUND(F361*H$7,)</f>
        <v>0</v>
      </c>
      <c r="I361" s="209">
        <f>ROUND(H361*I$7,)</f>
        <v>0</v>
      </c>
      <c r="J361" s="209">
        <f>ROUND(I361*J$7,)</f>
        <v>0</v>
      </c>
      <c r="K361" s="145">
        <f t="shared" si="321"/>
        <v>0</v>
      </c>
      <c r="L361" s="145">
        <f t="shared" si="324"/>
        <v>0</v>
      </c>
      <c r="M361" s="5"/>
      <c r="N361" s="5"/>
      <c r="O361" s="5"/>
      <c r="P361" s="5"/>
      <c r="Q361" s="139">
        <f t="shared" si="366"/>
        <v>0</v>
      </c>
    </row>
    <row r="362" spans="1:17" ht="12.75" hidden="1" customHeight="1">
      <c r="A362" s="214"/>
      <c r="B362" s="986" t="s">
        <v>293</v>
      </c>
      <c r="C362" s="957"/>
      <c r="D362" s="191" t="s">
        <v>294</v>
      </c>
      <c r="E362" s="192"/>
      <c r="F362" s="192"/>
      <c r="G362" s="193">
        <f>SUM(F362,E362)</f>
        <v>0</v>
      </c>
      <c r="H362" s="195">
        <f>ROUND(F362*H$7,)</f>
        <v>0</v>
      </c>
      <c r="I362" s="209">
        <f>ROUND(H362*I$7,)</f>
        <v>0</v>
      </c>
      <c r="J362" s="209">
        <f>ROUND(I362*J$7,)</f>
        <v>0</v>
      </c>
      <c r="K362" s="145">
        <f t="shared" si="321"/>
        <v>0</v>
      </c>
      <c r="L362" s="145">
        <f t="shared" si="324"/>
        <v>0</v>
      </c>
      <c r="M362" s="5"/>
      <c r="N362" s="5"/>
      <c r="O362" s="5"/>
      <c r="P362" s="5"/>
      <c r="Q362" s="139">
        <f t="shared" si="366"/>
        <v>0</v>
      </c>
    </row>
    <row r="363" spans="1:17" ht="30" customHeight="1">
      <c r="A363" s="990" t="s">
        <v>702</v>
      </c>
      <c r="B363" s="948"/>
      <c r="C363" s="948"/>
      <c r="D363" s="92" t="s">
        <v>295</v>
      </c>
      <c r="E363" s="93">
        <f>SUM(E364,E367:E368)</f>
        <v>1597.1000000000001</v>
      </c>
      <c r="F363" s="93">
        <f t="shared" ref="F363" si="374">SUM(F364,F367:F368)</f>
        <v>0</v>
      </c>
      <c r="G363" s="94">
        <f t="shared" ref="G363:J363" si="375">SUM(G364,G367:G368)</f>
        <v>1597.1000000000001</v>
      </c>
      <c r="H363" s="96">
        <f t="shared" si="375"/>
        <v>0</v>
      </c>
      <c r="I363" s="141">
        <f t="shared" si="375"/>
        <v>0</v>
      </c>
      <c r="J363" s="141">
        <f t="shared" si="375"/>
        <v>0</v>
      </c>
      <c r="K363" s="137">
        <f t="shared" si="321"/>
        <v>3194.2000000000003</v>
      </c>
      <c r="L363" s="137">
        <f t="shared" si="324"/>
        <v>1597.1000000000001</v>
      </c>
      <c r="M363" s="132"/>
      <c r="N363" s="132"/>
      <c r="O363" s="132"/>
      <c r="P363" s="132"/>
      <c r="Q363" s="139">
        <f t="shared" si="366"/>
        <v>0</v>
      </c>
    </row>
    <row r="364" spans="1:17" ht="12.75" customHeight="1">
      <c r="A364" s="119"/>
      <c r="B364" s="994" t="s">
        <v>296</v>
      </c>
      <c r="C364" s="948"/>
      <c r="D364" s="108" t="s">
        <v>297</v>
      </c>
      <c r="E364" s="109">
        <f t="shared" ref="E364:F364" si="376">SUM(E365:E366)</f>
        <v>1448.9</v>
      </c>
      <c r="F364" s="109">
        <f t="shared" si="376"/>
        <v>0</v>
      </c>
      <c r="G364" s="110">
        <f t="shared" ref="G364" si="377">SUM(G365:G366)</f>
        <v>1448.9</v>
      </c>
      <c r="H364" s="105">
        <f t="shared" ref="H364:J364" si="378">SUM(H365:H366)</f>
        <v>0</v>
      </c>
      <c r="I364" s="146">
        <f t="shared" si="378"/>
        <v>0</v>
      </c>
      <c r="J364" s="146">
        <f t="shared" si="378"/>
        <v>0</v>
      </c>
      <c r="K364" s="137">
        <f t="shared" si="321"/>
        <v>2897.8</v>
      </c>
      <c r="L364" s="137">
        <f t="shared" si="324"/>
        <v>1448.9</v>
      </c>
      <c r="M364" s="132"/>
      <c r="N364" s="132"/>
      <c r="O364" s="132"/>
      <c r="P364" s="132"/>
      <c r="Q364" s="139">
        <f t="shared" si="366"/>
        <v>0</v>
      </c>
    </row>
    <row r="365" spans="1:17" ht="26.25" customHeight="1">
      <c r="A365" s="220"/>
      <c r="B365" s="235"/>
      <c r="C365" s="236" t="s">
        <v>298</v>
      </c>
      <c r="D365" s="237" t="s">
        <v>299</v>
      </c>
      <c r="E365" s="203">
        <v>112.5</v>
      </c>
      <c r="F365" s="203"/>
      <c r="G365" s="201">
        <f>SUM(F365,E365)</f>
        <v>112.5</v>
      </c>
      <c r="H365" s="202">
        <f>ROUND(F365*H$7,)</f>
        <v>0</v>
      </c>
      <c r="I365" s="210">
        <f>ROUND(F365*I$7,)</f>
        <v>0</v>
      </c>
      <c r="J365" s="210">
        <f>ROUND(F365*J$7,)</f>
        <v>0</v>
      </c>
      <c r="K365" s="137">
        <f t="shared" si="321"/>
        <v>225</v>
      </c>
      <c r="L365" s="137">
        <f t="shared" si="324"/>
        <v>112.5</v>
      </c>
      <c r="M365" s="245">
        <v>1.1499999999999999</v>
      </c>
      <c r="N365" s="132"/>
      <c r="O365" s="132"/>
      <c r="P365" s="132"/>
      <c r="Q365" s="139">
        <f t="shared" si="366"/>
        <v>0</v>
      </c>
    </row>
    <row r="366" spans="1:17" ht="25.5" customHeight="1">
      <c r="A366" s="220"/>
      <c r="B366" s="235"/>
      <c r="C366" s="236" t="s">
        <v>300</v>
      </c>
      <c r="D366" s="237" t="s">
        <v>301</v>
      </c>
      <c r="E366" s="203">
        <v>1336.4</v>
      </c>
      <c r="F366" s="203"/>
      <c r="G366" s="201">
        <f>SUM(F366,E366)</f>
        <v>1336.4</v>
      </c>
      <c r="H366" s="202">
        <f>ROUND(F366*H$7,)</f>
        <v>0</v>
      </c>
      <c r="I366" s="210">
        <f>ROUND(F366*I$7,)</f>
        <v>0</v>
      </c>
      <c r="J366" s="210">
        <f>ROUND(F366*J$7,)</f>
        <v>0</v>
      </c>
      <c r="K366" s="137">
        <f t="shared" si="321"/>
        <v>2672.8</v>
      </c>
      <c r="L366" s="137">
        <f t="shared" si="324"/>
        <v>1336.4</v>
      </c>
      <c r="M366" s="245">
        <v>1.1499999999999999</v>
      </c>
      <c r="N366" s="132"/>
      <c r="O366" s="132"/>
      <c r="P366" s="132"/>
      <c r="Q366" s="139">
        <f t="shared" si="366"/>
        <v>0</v>
      </c>
    </row>
    <row r="367" spans="1:17" ht="26.25" customHeight="1">
      <c r="A367" s="220"/>
      <c r="B367" s="988" t="s">
        <v>302</v>
      </c>
      <c r="C367" s="957"/>
      <c r="D367" s="199" t="s">
        <v>303</v>
      </c>
      <c r="E367" s="200">
        <v>148.19999999999999</v>
      </c>
      <c r="F367" s="200"/>
      <c r="G367" s="201">
        <f>SUM(F367,E367)</f>
        <v>148.19999999999999</v>
      </c>
      <c r="H367" s="202">
        <f>ROUND(F367*H$7,)</f>
        <v>0</v>
      </c>
      <c r="I367" s="210">
        <f>ROUND(F367*I$7,)</f>
        <v>0</v>
      </c>
      <c r="J367" s="210">
        <f>ROUND(F367*J$7,)</f>
        <v>0</v>
      </c>
      <c r="K367" s="137">
        <f t="shared" si="321"/>
        <v>296.39999999999998</v>
      </c>
      <c r="L367" s="137">
        <f t="shared" si="324"/>
        <v>148.19999999999999</v>
      </c>
      <c r="M367" s="245">
        <v>1.1499999999999999</v>
      </c>
      <c r="N367" s="132"/>
      <c r="O367" s="132"/>
      <c r="P367" s="132"/>
      <c r="Q367" s="139">
        <f t="shared" si="366"/>
        <v>0</v>
      </c>
    </row>
    <row r="368" spans="1:17" ht="12.75" hidden="1" customHeight="1">
      <c r="A368" s="214"/>
      <c r="B368" s="986" t="s">
        <v>304</v>
      </c>
      <c r="C368" s="957"/>
      <c r="D368" s="191" t="s">
        <v>305</v>
      </c>
      <c r="E368" s="238"/>
      <c r="F368" s="238"/>
      <c r="G368" s="193">
        <f>SUM(F368,E368)</f>
        <v>0</v>
      </c>
      <c r="H368" s="195">
        <f>ROUND(F368*H$7,)</f>
        <v>0</v>
      </c>
      <c r="I368" s="209">
        <f>ROUND(H368*I$7,)</f>
        <v>0</v>
      </c>
      <c r="J368" s="209">
        <f>ROUND(I368*J$7,)</f>
        <v>0</v>
      </c>
      <c r="K368" s="145">
        <f t="shared" si="321"/>
        <v>0</v>
      </c>
      <c r="L368" s="145">
        <f t="shared" si="324"/>
        <v>0</v>
      </c>
      <c r="M368" s="5"/>
      <c r="N368" s="5"/>
      <c r="O368" s="5"/>
      <c r="P368" s="5"/>
      <c r="Q368" s="139">
        <f t="shared" si="366"/>
        <v>0</v>
      </c>
    </row>
    <row r="369" spans="1:17" ht="12.75" hidden="1" customHeight="1">
      <c r="A369" s="989" t="s">
        <v>306</v>
      </c>
      <c r="B369" s="948"/>
      <c r="C369" s="948"/>
      <c r="D369" s="97" t="s">
        <v>307</v>
      </c>
      <c r="E369" s="98">
        <f t="shared" ref="E369:F370" si="379">SUM(E370)</f>
        <v>0</v>
      </c>
      <c r="F369" s="98">
        <f t="shared" si="379"/>
        <v>0</v>
      </c>
      <c r="G369" s="99">
        <f t="shared" ref="G369:J370" si="380">SUM(G370)</f>
        <v>0</v>
      </c>
      <c r="H369" s="96">
        <f t="shared" si="380"/>
        <v>0</v>
      </c>
      <c r="I369" s="141">
        <f t="shared" si="380"/>
        <v>0</v>
      </c>
      <c r="J369" s="141">
        <f t="shared" si="380"/>
        <v>0</v>
      </c>
      <c r="K369" s="145">
        <f t="shared" si="321"/>
        <v>0</v>
      </c>
      <c r="L369" s="145">
        <f t="shared" si="324"/>
        <v>0</v>
      </c>
      <c r="M369" s="5"/>
      <c r="N369" s="5"/>
      <c r="O369" s="5"/>
      <c r="P369" s="5"/>
      <c r="Q369" s="139">
        <f t="shared" si="366"/>
        <v>0</v>
      </c>
    </row>
    <row r="370" spans="1:17" ht="12.75" hidden="1" customHeight="1">
      <c r="A370" s="989" t="s">
        <v>52</v>
      </c>
      <c r="B370" s="948"/>
      <c r="C370" s="948"/>
      <c r="D370" s="97" t="s">
        <v>308</v>
      </c>
      <c r="E370" s="98">
        <f t="shared" si="379"/>
        <v>0</v>
      </c>
      <c r="F370" s="98">
        <f t="shared" si="379"/>
        <v>0</v>
      </c>
      <c r="G370" s="99">
        <f t="shared" si="380"/>
        <v>0</v>
      </c>
      <c r="H370" s="96">
        <f t="shared" si="380"/>
        <v>0</v>
      </c>
      <c r="I370" s="141">
        <f t="shared" si="380"/>
        <v>0</v>
      </c>
      <c r="J370" s="141">
        <f t="shared" si="380"/>
        <v>0</v>
      </c>
      <c r="K370" s="145">
        <f t="shared" si="321"/>
        <v>0</v>
      </c>
      <c r="L370" s="145">
        <f t="shared" si="324"/>
        <v>0</v>
      </c>
      <c r="M370" s="5"/>
      <c r="N370" s="5"/>
      <c r="O370" s="5"/>
      <c r="P370" s="5"/>
      <c r="Q370" s="139">
        <f t="shared" si="366"/>
        <v>0</v>
      </c>
    </row>
    <row r="371" spans="1:17" ht="12.75" hidden="1" customHeight="1">
      <c r="A371" s="214"/>
      <c r="B371" s="986" t="s">
        <v>309</v>
      </c>
      <c r="C371" s="957"/>
      <c r="D371" s="191" t="s">
        <v>310</v>
      </c>
      <c r="E371" s="192"/>
      <c r="F371" s="192"/>
      <c r="G371" s="193">
        <f>SUM(F371,E371)</f>
        <v>0</v>
      </c>
      <c r="H371" s="195">
        <f>ROUND(F371*H$7,)</f>
        <v>0</v>
      </c>
      <c r="I371" s="209">
        <f>ROUND(H371*I$7,)</f>
        <v>0</v>
      </c>
      <c r="J371" s="209">
        <f>ROUND(I371*J$7,)</f>
        <v>0</v>
      </c>
      <c r="K371" s="145">
        <f t="shared" si="321"/>
        <v>0</v>
      </c>
      <c r="L371" s="145">
        <f t="shared" si="324"/>
        <v>0</v>
      </c>
      <c r="M371" s="5"/>
      <c r="N371" s="5"/>
      <c r="O371" s="5"/>
      <c r="P371" s="5"/>
      <c r="Q371" s="139">
        <f t="shared" si="366"/>
        <v>0</v>
      </c>
    </row>
    <row r="372" spans="1:17" ht="12.75" customHeight="1">
      <c r="A372" s="990" t="s">
        <v>311</v>
      </c>
      <c r="B372" s="948"/>
      <c r="C372" s="948"/>
      <c r="D372" s="92" t="s">
        <v>312</v>
      </c>
      <c r="E372" s="93">
        <f>SUM(E373,E384)</f>
        <v>-28463.199999999997</v>
      </c>
      <c r="F372" s="93">
        <f t="shared" ref="F372" si="381">SUM(F373,F384)</f>
        <v>0</v>
      </c>
      <c r="G372" s="94">
        <f t="shared" ref="G372:J372" si="382">SUM(G373,G384)</f>
        <v>-28463.199999999997</v>
      </c>
      <c r="H372" s="96">
        <f t="shared" si="382"/>
        <v>0</v>
      </c>
      <c r="I372" s="141">
        <f t="shared" si="382"/>
        <v>0</v>
      </c>
      <c r="J372" s="141">
        <f t="shared" si="382"/>
        <v>0</v>
      </c>
      <c r="K372" s="137">
        <f t="shared" si="321"/>
        <v>-56926.399999999994</v>
      </c>
      <c r="L372" s="137">
        <f t="shared" si="324"/>
        <v>-28463.199999999997</v>
      </c>
      <c r="M372" s="245"/>
      <c r="N372" s="132"/>
      <c r="O372" s="132"/>
      <c r="P372" s="132"/>
      <c r="Q372" s="139">
        <f t="shared" si="366"/>
        <v>0</v>
      </c>
    </row>
    <row r="373" spans="1:17" ht="12.75" customHeight="1">
      <c r="A373" s="990" t="s">
        <v>313</v>
      </c>
      <c r="B373" s="948"/>
      <c r="C373" s="948"/>
      <c r="D373" s="92" t="s">
        <v>314</v>
      </c>
      <c r="E373" s="93">
        <f t="shared" ref="E373:F373" si="383">SUM(E374,E382)</f>
        <v>1901.9</v>
      </c>
      <c r="F373" s="93">
        <f t="shared" si="383"/>
        <v>0</v>
      </c>
      <c r="G373" s="94">
        <f t="shared" ref="G373:J373" si="384">SUM(G374,G382)</f>
        <v>1901.9</v>
      </c>
      <c r="H373" s="96">
        <f t="shared" si="384"/>
        <v>0</v>
      </c>
      <c r="I373" s="141">
        <f t="shared" si="384"/>
        <v>0</v>
      </c>
      <c r="J373" s="141">
        <f t="shared" si="384"/>
        <v>0</v>
      </c>
      <c r="K373" s="137">
        <f t="shared" si="321"/>
        <v>3803.8</v>
      </c>
      <c r="L373" s="137">
        <f t="shared" si="324"/>
        <v>1901.9</v>
      </c>
      <c r="M373" s="245"/>
      <c r="N373" s="132"/>
      <c r="O373" s="132"/>
      <c r="P373" s="132"/>
      <c r="Q373" s="139">
        <f t="shared" si="366"/>
        <v>0</v>
      </c>
    </row>
    <row r="374" spans="1:17" ht="12.75" customHeight="1">
      <c r="A374" s="990" t="s">
        <v>315</v>
      </c>
      <c r="B374" s="948"/>
      <c r="C374" s="948"/>
      <c r="D374" s="92" t="s">
        <v>316</v>
      </c>
      <c r="E374" s="93">
        <f>SUM(E375:E376,E379,E381)</f>
        <v>1901.9</v>
      </c>
      <c r="F374" s="93">
        <f>SUM(F375:F376,F379,F381)</f>
        <v>0</v>
      </c>
      <c r="G374" s="94">
        <f>SUM(G375:G376,G379,G381)</f>
        <v>1901.9</v>
      </c>
      <c r="H374" s="96">
        <f t="shared" ref="H374:J374" si="385">SUM(H375:H379,H381)</f>
        <v>0</v>
      </c>
      <c r="I374" s="141">
        <f t="shared" si="385"/>
        <v>0</v>
      </c>
      <c r="J374" s="141">
        <f t="shared" si="385"/>
        <v>0</v>
      </c>
      <c r="K374" s="137">
        <f t="shared" si="321"/>
        <v>3803.8</v>
      </c>
      <c r="L374" s="137">
        <f t="shared" si="324"/>
        <v>1901.9</v>
      </c>
      <c r="M374" s="245"/>
      <c r="N374" s="132"/>
      <c r="O374" s="132"/>
      <c r="P374" s="132"/>
      <c r="Q374" s="139">
        <f t="shared" si="366"/>
        <v>0</v>
      </c>
    </row>
    <row r="375" spans="1:17" ht="12.75" hidden="1" customHeight="1">
      <c r="A375" s="214"/>
      <c r="B375" s="986" t="s">
        <v>317</v>
      </c>
      <c r="C375" s="957"/>
      <c r="D375" s="191" t="s">
        <v>318</v>
      </c>
      <c r="E375" s="192"/>
      <c r="F375" s="192"/>
      <c r="G375" s="193">
        <f>SUM(F375,E375)</f>
        <v>0</v>
      </c>
      <c r="H375" s="195">
        <f>ROUND(F375*H$7,)</f>
        <v>0</v>
      </c>
      <c r="I375" s="209">
        <f>ROUND(H375*I$7,)</f>
        <v>0</v>
      </c>
      <c r="J375" s="209">
        <f>ROUND(I375*J$7,)</f>
        <v>0</v>
      </c>
      <c r="K375" s="145">
        <f t="shared" si="321"/>
        <v>0</v>
      </c>
      <c r="L375" s="145">
        <f t="shared" si="324"/>
        <v>0</v>
      </c>
      <c r="M375" s="5"/>
      <c r="N375" s="5"/>
      <c r="O375" s="5"/>
      <c r="P375" s="5"/>
      <c r="Q375" s="139">
        <f t="shared" si="366"/>
        <v>0</v>
      </c>
    </row>
    <row r="376" spans="1:17" ht="12.75" customHeight="1">
      <c r="A376" s="220"/>
      <c r="B376" s="988" t="s">
        <v>319</v>
      </c>
      <c r="C376" s="957"/>
      <c r="D376" s="199" t="s">
        <v>320</v>
      </c>
      <c r="E376" s="200">
        <f>SUM(E377:E378)</f>
        <v>1901.9</v>
      </c>
      <c r="F376" s="200"/>
      <c r="G376" s="201">
        <f>SUM(F376,E376)</f>
        <v>1901.9</v>
      </c>
      <c r="H376" s="202">
        <f>ROUND(F376*H$7,)</f>
        <v>0</v>
      </c>
      <c r="I376" s="210">
        <f>ROUND(F376*I$7,)</f>
        <v>0</v>
      </c>
      <c r="J376" s="210">
        <f>ROUND(F376*J$7,)</f>
        <v>0</v>
      </c>
      <c r="K376" s="137">
        <f t="shared" si="321"/>
        <v>3803.8</v>
      </c>
      <c r="L376" s="137">
        <f t="shared" si="324"/>
        <v>1901.9</v>
      </c>
      <c r="M376" s="245"/>
      <c r="N376" s="132"/>
      <c r="O376" s="132"/>
      <c r="P376" s="132"/>
      <c r="Q376" s="139">
        <f t="shared" si="366"/>
        <v>0</v>
      </c>
    </row>
    <row r="377" spans="1:17" ht="12.75" customHeight="1">
      <c r="A377" s="220"/>
      <c r="B377" s="198"/>
      <c r="C377" s="91" t="s">
        <v>321</v>
      </c>
      <c r="D377" s="199" t="s">
        <v>322</v>
      </c>
      <c r="E377" s="200">
        <v>1400.3</v>
      </c>
      <c r="F377" s="200"/>
      <c r="G377" s="201">
        <f t="shared" ref="G377:G378" si="386">SUM(F377,E377)</f>
        <v>1400.3</v>
      </c>
      <c r="H377" s="202">
        <f t="shared" ref="H377:H378" si="387">ROUND(F377*H$7,)</f>
        <v>0</v>
      </c>
      <c r="I377" s="210">
        <f t="shared" ref="I377:I378" si="388">ROUND(F377*I$7,)</f>
        <v>0</v>
      </c>
      <c r="J377" s="210">
        <f t="shared" ref="J377:J378" si="389">ROUND(F377*J$7,)</f>
        <v>0</v>
      </c>
      <c r="K377" s="137">
        <f t="shared" ref="K377:K378" si="390">SUM(E377:G377)</f>
        <v>2800.6</v>
      </c>
      <c r="L377" s="137">
        <f t="shared" si="324"/>
        <v>1400.3</v>
      </c>
      <c r="M377" s="245">
        <v>1.1499999999999999</v>
      </c>
      <c r="N377" s="132"/>
      <c r="O377" s="132"/>
      <c r="P377" s="132"/>
      <c r="Q377" s="139">
        <f t="shared" si="366"/>
        <v>0</v>
      </c>
    </row>
    <row r="378" spans="1:17" ht="25.5" customHeight="1">
      <c r="A378" s="220"/>
      <c r="B378" s="198"/>
      <c r="C378" s="239" t="s">
        <v>323</v>
      </c>
      <c r="D378" s="199" t="s">
        <v>324</v>
      </c>
      <c r="E378" s="200">
        <v>501.6</v>
      </c>
      <c r="F378" s="200"/>
      <c r="G378" s="201">
        <f t="shared" si="386"/>
        <v>501.6</v>
      </c>
      <c r="H378" s="202">
        <f t="shared" si="387"/>
        <v>0</v>
      </c>
      <c r="I378" s="210">
        <f t="shared" si="388"/>
        <v>0</v>
      </c>
      <c r="J378" s="210">
        <f t="shared" si="389"/>
        <v>0</v>
      </c>
      <c r="K378" s="137">
        <f t="shared" si="390"/>
        <v>1003.2</v>
      </c>
      <c r="L378" s="137">
        <f t="shared" si="324"/>
        <v>501.6</v>
      </c>
      <c r="M378" s="245">
        <v>1.1499999999999999</v>
      </c>
      <c r="N378" s="132"/>
      <c r="O378" s="132"/>
      <c r="P378" s="132"/>
      <c r="Q378" s="139">
        <f t="shared" si="366"/>
        <v>0</v>
      </c>
    </row>
    <row r="379" spans="1:17" ht="12.75" hidden="1" customHeight="1">
      <c r="A379" s="100"/>
      <c r="B379" s="993" t="s">
        <v>325</v>
      </c>
      <c r="C379" s="948"/>
      <c r="D379" s="102" t="s">
        <v>326</v>
      </c>
      <c r="E379" s="103">
        <f t="shared" ref="E379:F379" si="391">SUM(E380)</f>
        <v>0</v>
      </c>
      <c r="F379" s="103">
        <f t="shared" si="391"/>
        <v>0</v>
      </c>
      <c r="G379" s="104">
        <f t="shared" ref="G379:J379" si="392">SUM(G380)</f>
        <v>0</v>
      </c>
      <c r="H379" s="105">
        <f t="shared" si="392"/>
        <v>0</v>
      </c>
      <c r="I379" s="146">
        <f t="shared" si="392"/>
        <v>0</v>
      </c>
      <c r="J379" s="146">
        <f t="shared" si="392"/>
        <v>0</v>
      </c>
      <c r="K379" s="145">
        <f t="shared" si="321"/>
        <v>0</v>
      </c>
      <c r="L379" s="145">
        <f t="shared" si="324"/>
        <v>0</v>
      </c>
      <c r="M379" s="5"/>
      <c r="N379" s="5"/>
      <c r="O379" s="5"/>
      <c r="P379" s="5"/>
      <c r="Q379" s="139">
        <f t="shared" si="366"/>
        <v>0</v>
      </c>
    </row>
    <row r="380" spans="1:17" ht="12.75" hidden="1" customHeight="1">
      <c r="A380" s="189"/>
      <c r="B380" s="215"/>
      <c r="C380" s="216" t="s">
        <v>327</v>
      </c>
      <c r="D380" s="217" t="s">
        <v>328</v>
      </c>
      <c r="E380" s="218"/>
      <c r="F380" s="218"/>
      <c r="G380" s="193">
        <f>SUM(F380,E380)</f>
        <v>0</v>
      </c>
      <c r="H380" s="219">
        <f>ROUND(F380*H$7,)</f>
        <v>0</v>
      </c>
      <c r="I380" s="241">
        <f>ROUND(H380*I$7,)</f>
        <v>0</v>
      </c>
      <c r="J380" s="241">
        <f>ROUND(I380*J$7,)</f>
        <v>0</v>
      </c>
      <c r="K380" s="145">
        <f t="shared" si="321"/>
        <v>0</v>
      </c>
      <c r="L380" s="145">
        <f t="shared" si="324"/>
        <v>0</v>
      </c>
      <c r="M380" s="5"/>
      <c r="N380" s="5"/>
      <c r="O380" s="5"/>
      <c r="P380" s="5"/>
      <c r="Q380" s="139">
        <f t="shared" si="366"/>
        <v>0</v>
      </c>
    </row>
    <row r="381" spans="1:17" ht="12.75" hidden="1" customHeight="1">
      <c r="A381" s="189"/>
      <c r="B381" s="986" t="s">
        <v>329</v>
      </c>
      <c r="C381" s="957"/>
      <c r="D381" s="191" t="s">
        <v>330</v>
      </c>
      <c r="E381" s="192"/>
      <c r="F381" s="192"/>
      <c r="G381" s="193">
        <f>SUM(F381,E381)</f>
        <v>0</v>
      </c>
      <c r="H381" s="195">
        <f>ROUND(F381*H$7,)</f>
        <v>0</v>
      </c>
      <c r="I381" s="209">
        <f>ROUND(H381*I$7,)</f>
        <v>0</v>
      </c>
      <c r="J381" s="209">
        <f>ROUND(I381*J$7,)</f>
        <v>0</v>
      </c>
      <c r="K381" s="145">
        <f t="shared" si="321"/>
        <v>0</v>
      </c>
      <c r="L381" s="145">
        <f t="shared" si="324"/>
        <v>0</v>
      </c>
      <c r="M381" s="5"/>
      <c r="N381" s="5"/>
      <c r="O381" s="5"/>
      <c r="P381" s="5"/>
      <c r="Q381" s="139">
        <f t="shared" si="366"/>
        <v>0</v>
      </c>
    </row>
    <row r="382" spans="1:17" ht="12.75" hidden="1" customHeight="1">
      <c r="A382" s="989" t="s">
        <v>331</v>
      </c>
      <c r="B382" s="948"/>
      <c r="C382" s="948"/>
      <c r="D382" s="97" t="s">
        <v>332</v>
      </c>
      <c r="E382" s="98">
        <f t="shared" ref="E382:F382" si="393">SUM(E383)</f>
        <v>0</v>
      </c>
      <c r="F382" s="98">
        <f t="shared" si="393"/>
        <v>0</v>
      </c>
      <c r="G382" s="99">
        <f t="shared" ref="G382:J382" si="394">SUM(G383)</f>
        <v>0</v>
      </c>
      <c r="H382" s="96">
        <f t="shared" si="394"/>
        <v>0</v>
      </c>
      <c r="I382" s="141">
        <f t="shared" si="394"/>
        <v>0</v>
      </c>
      <c r="J382" s="141">
        <f t="shared" si="394"/>
        <v>0</v>
      </c>
      <c r="K382" s="145">
        <f t="shared" si="321"/>
        <v>0</v>
      </c>
      <c r="L382" s="145">
        <f t="shared" si="324"/>
        <v>0</v>
      </c>
      <c r="M382" s="5"/>
      <c r="N382" s="5"/>
      <c r="O382" s="5"/>
      <c r="P382" s="5"/>
      <c r="Q382" s="139">
        <f t="shared" si="366"/>
        <v>0</v>
      </c>
    </row>
    <row r="383" spans="1:17" ht="12.75" hidden="1" customHeight="1">
      <c r="A383" s="189"/>
      <c r="B383" s="986" t="s">
        <v>333</v>
      </c>
      <c r="C383" s="957"/>
      <c r="D383" s="191" t="s">
        <v>334</v>
      </c>
      <c r="E383" s="192"/>
      <c r="F383" s="192"/>
      <c r="G383" s="193">
        <f>SUM(F383,E383)</f>
        <v>0</v>
      </c>
      <c r="H383" s="195">
        <f>ROUND(F383*H$7,)</f>
        <v>0</v>
      </c>
      <c r="I383" s="209">
        <f>ROUND(H383*I$7,)</f>
        <v>0</v>
      </c>
      <c r="J383" s="209">
        <f>ROUND(I383*J$7,)</f>
        <v>0</v>
      </c>
      <c r="K383" s="145">
        <f t="shared" si="321"/>
        <v>0</v>
      </c>
      <c r="L383" s="145">
        <f t="shared" si="324"/>
        <v>0</v>
      </c>
      <c r="M383" s="5"/>
      <c r="N383" s="5"/>
      <c r="O383" s="5"/>
      <c r="P383" s="5"/>
      <c r="Q383" s="139">
        <f t="shared" si="366"/>
        <v>0</v>
      </c>
    </row>
    <row r="384" spans="1:17" ht="12.75" customHeight="1">
      <c r="A384" s="990" t="s">
        <v>335</v>
      </c>
      <c r="B384" s="948"/>
      <c r="C384" s="948"/>
      <c r="D384" s="92" t="s">
        <v>336</v>
      </c>
      <c r="E384" s="93">
        <f t="shared" ref="E384:F384" si="395">SUM(E385,E393,E396,E401,E407)</f>
        <v>-30365.1</v>
      </c>
      <c r="F384" s="93">
        <f t="shared" si="395"/>
        <v>0</v>
      </c>
      <c r="G384" s="94">
        <f t="shared" ref="G384:J384" si="396">SUM(G385,G393,G396,G401,G407)</f>
        <v>-30365.1</v>
      </c>
      <c r="H384" s="96">
        <f t="shared" si="396"/>
        <v>0</v>
      </c>
      <c r="I384" s="141">
        <f t="shared" si="396"/>
        <v>0</v>
      </c>
      <c r="J384" s="141">
        <f t="shared" si="396"/>
        <v>0</v>
      </c>
      <c r="K384" s="137">
        <f t="shared" si="321"/>
        <v>-60730.2</v>
      </c>
      <c r="L384" s="137">
        <f t="shared" si="324"/>
        <v>-30365.1</v>
      </c>
      <c r="M384" s="132"/>
      <c r="N384" s="132"/>
      <c r="O384" s="132"/>
      <c r="P384" s="132"/>
      <c r="Q384" s="139">
        <f t="shared" si="366"/>
        <v>0</v>
      </c>
    </row>
    <row r="385" spans="1:17" ht="12.75" customHeight="1">
      <c r="A385" s="990" t="s">
        <v>337</v>
      </c>
      <c r="B385" s="948"/>
      <c r="C385" s="948"/>
      <c r="D385" s="92" t="s">
        <v>338</v>
      </c>
      <c r="E385" s="93">
        <f t="shared" ref="E385:F385" si="397">SUM(E386:E392)</f>
        <v>2254.2000000000003</v>
      </c>
      <c r="F385" s="93">
        <f t="shared" si="397"/>
        <v>0</v>
      </c>
      <c r="G385" s="94">
        <f t="shared" ref="G385:J385" si="398">SUM(G386:G392)</f>
        <v>2254.2000000000003</v>
      </c>
      <c r="H385" s="96">
        <f t="shared" si="398"/>
        <v>0</v>
      </c>
      <c r="I385" s="141">
        <f t="shared" si="398"/>
        <v>0</v>
      </c>
      <c r="J385" s="141">
        <f t="shared" si="398"/>
        <v>0</v>
      </c>
      <c r="K385" s="137">
        <f t="shared" si="321"/>
        <v>4508.4000000000005</v>
      </c>
      <c r="L385" s="137">
        <f t="shared" si="324"/>
        <v>2254.2000000000003</v>
      </c>
      <c r="M385" s="132"/>
      <c r="N385" s="132"/>
      <c r="O385" s="132"/>
      <c r="P385" s="132"/>
      <c r="Q385" s="139">
        <f t="shared" si="366"/>
        <v>0</v>
      </c>
    </row>
    <row r="386" spans="1:17" ht="12.75" customHeight="1">
      <c r="A386" s="220"/>
      <c r="B386" s="988" t="s">
        <v>339</v>
      </c>
      <c r="C386" s="957"/>
      <c r="D386" s="199" t="s">
        <v>340</v>
      </c>
      <c r="E386" s="200">
        <f>2069.3+184.9</f>
        <v>2254.2000000000003</v>
      </c>
      <c r="F386" s="200"/>
      <c r="G386" s="201">
        <f t="shared" ref="G386:G392" si="399">SUM(F386,E386)</f>
        <v>2254.2000000000003</v>
      </c>
      <c r="H386" s="202">
        <f t="shared" ref="H386:H392" si="400">ROUND(F386*H$7,)</f>
        <v>0</v>
      </c>
      <c r="I386" s="210">
        <f>ROUND(F386*I$7,)</f>
        <v>0</v>
      </c>
      <c r="J386" s="210">
        <f>ROUND(F386*J$7,)</f>
        <v>0</v>
      </c>
      <c r="K386" s="137">
        <f t="shared" si="321"/>
        <v>4508.4000000000005</v>
      </c>
      <c r="L386" s="137">
        <f t="shared" si="324"/>
        <v>2254.2000000000003</v>
      </c>
      <c r="M386" s="245">
        <v>1.1499999999999999</v>
      </c>
      <c r="N386" s="132"/>
      <c r="O386" s="132"/>
      <c r="P386" s="132"/>
      <c r="Q386" s="139">
        <f t="shared" si="366"/>
        <v>0</v>
      </c>
    </row>
    <row r="387" spans="1:17" ht="30" hidden="1" customHeight="1">
      <c r="A387" s="214"/>
      <c r="B387" s="986" t="s">
        <v>341</v>
      </c>
      <c r="C387" s="957"/>
      <c r="D387" s="191" t="s">
        <v>342</v>
      </c>
      <c r="E387" s="192"/>
      <c r="F387" s="192"/>
      <c r="G387" s="193">
        <f t="shared" si="399"/>
        <v>0</v>
      </c>
      <c r="H387" s="195">
        <f t="shared" si="400"/>
        <v>0</v>
      </c>
      <c r="I387" s="209">
        <f t="shared" ref="I387:J392" si="401">ROUND(H387*I$7,)</f>
        <v>0</v>
      </c>
      <c r="J387" s="209">
        <f t="shared" si="401"/>
        <v>0</v>
      </c>
      <c r="K387" s="145">
        <f t="shared" si="321"/>
        <v>0</v>
      </c>
      <c r="L387" s="145">
        <f t="shared" si="324"/>
        <v>0</v>
      </c>
      <c r="M387" s="5"/>
      <c r="N387" s="5"/>
      <c r="O387" s="5"/>
      <c r="P387" s="5"/>
      <c r="Q387" s="139">
        <f t="shared" si="366"/>
        <v>0</v>
      </c>
    </row>
    <row r="388" spans="1:17" ht="12.75" hidden="1" customHeight="1">
      <c r="A388" s="214"/>
      <c r="B388" s="986" t="s">
        <v>343</v>
      </c>
      <c r="C388" s="957"/>
      <c r="D388" s="191" t="s">
        <v>344</v>
      </c>
      <c r="E388" s="192"/>
      <c r="F388" s="192"/>
      <c r="G388" s="193">
        <f t="shared" si="399"/>
        <v>0</v>
      </c>
      <c r="H388" s="195">
        <f t="shared" si="400"/>
        <v>0</v>
      </c>
      <c r="I388" s="209">
        <f t="shared" si="401"/>
        <v>0</v>
      </c>
      <c r="J388" s="209">
        <f t="shared" si="401"/>
        <v>0</v>
      </c>
      <c r="K388" s="145">
        <f t="shared" si="321"/>
        <v>0</v>
      </c>
      <c r="L388" s="145">
        <f t="shared" si="324"/>
        <v>0</v>
      </c>
      <c r="M388" s="5"/>
      <c r="N388" s="5"/>
      <c r="O388" s="5"/>
      <c r="P388" s="5"/>
      <c r="Q388" s="139">
        <f t="shared" si="366"/>
        <v>0</v>
      </c>
    </row>
    <row r="389" spans="1:17" ht="12.75" hidden="1" customHeight="1">
      <c r="A389" s="214"/>
      <c r="B389" s="986" t="s">
        <v>345</v>
      </c>
      <c r="C389" s="957"/>
      <c r="D389" s="191" t="s">
        <v>346</v>
      </c>
      <c r="E389" s="192"/>
      <c r="F389" s="192"/>
      <c r="G389" s="193">
        <f t="shared" si="399"/>
        <v>0</v>
      </c>
      <c r="H389" s="195">
        <f t="shared" si="400"/>
        <v>0</v>
      </c>
      <c r="I389" s="209">
        <f t="shared" si="401"/>
        <v>0</v>
      </c>
      <c r="J389" s="209">
        <f t="shared" si="401"/>
        <v>0</v>
      </c>
      <c r="K389" s="145">
        <f t="shared" si="321"/>
        <v>0</v>
      </c>
      <c r="L389" s="145">
        <f t="shared" si="324"/>
        <v>0</v>
      </c>
      <c r="M389" s="5"/>
      <c r="N389" s="5"/>
      <c r="O389" s="5"/>
      <c r="P389" s="5"/>
      <c r="Q389" s="139">
        <f t="shared" si="366"/>
        <v>0</v>
      </c>
    </row>
    <row r="390" spans="1:17" ht="30" hidden="1" customHeight="1">
      <c r="A390" s="246"/>
      <c r="B390" s="986" t="s">
        <v>347</v>
      </c>
      <c r="C390" s="957"/>
      <c r="D390" s="191" t="s">
        <v>348</v>
      </c>
      <c r="E390" s="192"/>
      <c r="F390" s="192"/>
      <c r="G390" s="193">
        <f t="shared" si="399"/>
        <v>0</v>
      </c>
      <c r="H390" s="195">
        <f t="shared" si="400"/>
        <v>0</v>
      </c>
      <c r="I390" s="209">
        <f t="shared" si="401"/>
        <v>0</v>
      </c>
      <c r="J390" s="209">
        <f t="shared" si="401"/>
        <v>0</v>
      </c>
      <c r="K390" s="145">
        <f t="shared" si="321"/>
        <v>0</v>
      </c>
      <c r="L390" s="145">
        <f t="shared" si="324"/>
        <v>0</v>
      </c>
      <c r="M390" s="5"/>
      <c r="N390" s="5"/>
      <c r="O390" s="5"/>
      <c r="P390" s="5"/>
      <c r="Q390" s="139">
        <f t="shared" si="366"/>
        <v>0</v>
      </c>
    </row>
    <row r="391" spans="1:17" ht="30" hidden="1" customHeight="1">
      <c r="A391" s="246"/>
      <c r="B391" s="986" t="s">
        <v>349</v>
      </c>
      <c r="C391" s="957"/>
      <c r="D391" s="191" t="s">
        <v>350</v>
      </c>
      <c r="E391" s="192"/>
      <c r="F391" s="192"/>
      <c r="G391" s="193">
        <f t="shared" si="399"/>
        <v>0</v>
      </c>
      <c r="H391" s="195">
        <f t="shared" si="400"/>
        <v>0</v>
      </c>
      <c r="I391" s="209">
        <f t="shared" si="401"/>
        <v>0</v>
      </c>
      <c r="J391" s="209">
        <f t="shared" si="401"/>
        <v>0</v>
      </c>
      <c r="K391" s="145">
        <f t="shared" si="321"/>
        <v>0</v>
      </c>
      <c r="L391" s="145">
        <f t="shared" si="324"/>
        <v>0</v>
      </c>
      <c r="M391" s="5"/>
      <c r="N391" s="5"/>
      <c r="O391" s="5"/>
      <c r="P391" s="5"/>
      <c r="Q391" s="139">
        <f t="shared" si="366"/>
        <v>0</v>
      </c>
    </row>
    <row r="392" spans="1:17" ht="12.75" hidden="1" customHeight="1">
      <c r="A392" s="214"/>
      <c r="B392" s="986" t="s">
        <v>351</v>
      </c>
      <c r="C392" s="957"/>
      <c r="D392" s="191" t="s">
        <v>352</v>
      </c>
      <c r="E392" s="192"/>
      <c r="F392" s="192"/>
      <c r="G392" s="193">
        <f t="shared" si="399"/>
        <v>0</v>
      </c>
      <c r="H392" s="195">
        <f t="shared" si="400"/>
        <v>0</v>
      </c>
      <c r="I392" s="209">
        <f t="shared" si="401"/>
        <v>0</v>
      </c>
      <c r="J392" s="209">
        <f t="shared" si="401"/>
        <v>0</v>
      </c>
      <c r="K392" s="145">
        <f t="shared" si="321"/>
        <v>0</v>
      </c>
      <c r="L392" s="145">
        <f t="shared" si="324"/>
        <v>0</v>
      </c>
      <c r="M392" s="5"/>
      <c r="N392" s="5"/>
      <c r="O392" s="5"/>
      <c r="P392" s="5"/>
      <c r="Q392" s="139">
        <f t="shared" si="366"/>
        <v>0</v>
      </c>
    </row>
    <row r="393" spans="1:17" ht="12.75" hidden="1" customHeight="1">
      <c r="A393" s="989" t="s">
        <v>353</v>
      </c>
      <c r="B393" s="948"/>
      <c r="C393" s="948"/>
      <c r="D393" s="97" t="s">
        <v>354</v>
      </c>
      <c r="E393" s="98">
        <f t="shared" ref="E393:F393" si="402">SUM(E394:E395)</f>
        <v>0</v>
      </c>
      <c r="F393" s="98">
        <f t="shared" si="402"/>
        <v>0</v>
      </c>
      <c r="G393" s="99">
        <f t="shared" ref="G393:J393" si="403">SUM(G394:G395)</f>
        <v>0</v>
      </c>
      <c r="H393" s="96">
        <f t="shared" si="403"/>
        <v>0</v>
      </c>
      <c r="I393" s="141">
        <f t="shared" si="403"/>
        <v>0</v>
      </c>
      <c r="J393" s="141">
        <f t="shared" si="403"/>
        <v>0</v>
      </c>
      <c r="K393" s="145">
        <f t="shared" si="321"/>
        <v>0</v>
      </c>
      <c r="L393" s="145">
        <f t="shared" si="324"/>
        <v>0</v>
      </c>
      <c r="M393" s="5"/>
      <c r="N393" s="5"/>
      <c r="O393" s="5"/>
      <c r="P393" s="5"/>
      <c r="Q393" s="139">
        <f t="shared" si="366"/>
        <v>0</v>
      </c>
    </row>
    <row r="394" spans="1:17" ht="12.75" hidden="1" customHeight="1">
      <c r="A394" s="214"/>
      <c r="B394" s="986" t="s">
        <v>355</v>
      </c>
      <c r="C394" s="957"/>
      <c r="D394" s="191" t="s">
        <v>356</v>
      </c>
      <c r="E394" s="192"/>
      <c r="F394" s="192"/>
      <c r="G394" s="193">
        <f>SUM(F394,E394)</f>
        <v>0</v>
      </c>
      <c r="H394" s="195">
        <f>ROUND(F394*H$7,)</f>
        <v>0</v>
      </c>
      <c r="I394" s="209">
        <f>ROUND(H394*I$7,)</f>
        <v>0</v>
      </c>
      <c r="J394" s="209">
        <f>ROUND(I394*J$7,)</f>
        <v>0</v>
      </c>
      <c r="K394" s="145">
        <f t="shared" si="321"/>
        <v>0</v>
      </c>
      <c r="L394" s="145">
        <f t="shared" si="324"/>
        <v>0</v>
      </c>
      <c r="M394" s="5"/>
      <c r="N394" s="5"/>
      <c r="O394" s="5"/>
      <c r="P394" s="5"/>
      <c r="Q394" s="139">
        <f t="shared" si="366"/>
        <v>0</v>
      </c>
    </row>
    <row r="395" spans="1:17" ht="12.75" hidden="1" customHeight="1">
      <c r="A395" s="214"/>
      <c r="B395" s="986" t="s">
        <v>357</v>
      </c>
      <c r="C395" s="957"/>
      <c r="D395" s="191" t="s">
        <v>358</v>
      </c>
      <c r="E395" s="192"/>
      <c r="F395" s="192"/>
      <c r="G395" s="193">
        <f>SUM(F395,E395)</f>
        <v>0</v>
      </c>
      <c r="H395" s="195">
        <f>ROUND(F395*H$7,)</f>
        <v>0</v>
      </c>
      <c r="I395" s="209">
        <f>ROUND(H395*I$7,)</f>
        <v>0</v>
      </c>
      <c r="J395" s="209">
        <f>ROUND(I395*J$7,)</f>
        <v>0</v>
      </c>
      <c r="K395" s="145">
        <f t="shared" si="321"/>
        <v>0</v>
      </c>
      <c r="L395" s="145">
        <f t="shared" si="324"/>
        <v>0</v>
      </c>
      <c r="M395" s="5"/>
      <c r="N395" s="5"/>
      <c r="O395" s="5"/>
      <c r="P395" s="5"/>
      <c r="Q395" s="139">
        <f t="shared" si="366"/>
        <v>0</v>
      </c>
    </row>
    <row r="396" spans="1:17" ht="12.75" customHeight="1">
      <c r="A396" s="990" t="s">
        <v>703</v>
      </c>
      <c r="B396" s="948"/>
      <c r="C396" s="948"/>
      <c r="D396" s="92" t="s">
        <v>360</v>
      </c>
      <c r="E396" s="93">
        <f t="shared" ref="E396:F396" si="404">SUM(E397:E400)</f>
        <v>22</v>
      </c>
      <c r="F396" s="93">
        <f t="shared" si="404"/>
        <v>0</v>
      </c>
      <c r="G396" s="94">
        <f t="shared" ref="G396" si="405">SUM(G397:G400)</f>
        <v>22</v>
      </c>
      <c r="H396" s="96">
        <f t="shared" ref="H396:J396" si="406">SUM(H397:H400)</f>
        <v>0</v>
      </c>
      <c r="I396" s="141">
        <f t="shared" si="406"/>
        <v>0</v>
      </c>
      <c r="J396" s="141">
        <f t="shared" si="406"/>
        <v>0</v>
      </c>
      <c r="K396" s="137">
        <f t="shared" si="321"/>
        <v>44</v>
      </c>
      <c r="L396" s="137">
        <f t="shared" si="324"/>
        <v>22</v>
      </c>
      <c r="M396" s="132"/>
      <c r="N396" s="132"/>
      <c r="O396" s="132"/>
      <c r="P396" s="132"/>
      <c r="Q396" s="139">
        <f t="shared" si="366"/>
        <v>0</v>
      </c>
    </row>
    <row r="397" spans="1:17" ht="27" customHeight="1">
      <c r="A397" s="220"/>
      <c r="B397" s="988" t="s">
        <v>704</v>
      </c>
      <c r="C397" s="957"/>
      <c r="D397" s="199" t="s">
        <v>705</v>
      </c>
      <c r="E397" s="200">
        <v>22</v>
      </c>
      <c r="F397" s="200"/>
      <c r="G397" s="193">
        <f>SUM(F397,E397)</f>
        <v>22</v>
      </c>
      <c r="H397" s="202">
        <f>ROUND(F397*H$7,)</f>
        <v>0</v>
      </c>
      <c r="I397" s="210">
        <f>ROUND(F397*I$7,)</f>
        <v>0</v>
      </c>
      <c r="J397" s="210">
        <f>ROUND(F397*J$7,)</f>
        <v>0</v>
      </c>
      <c r="K397" s="145">
        <f t="shared" si="321"/>
        <v>44</v>
      </c>
      <c r="L397" s="145">
        <f t="shared" si="324"/>
        <v>22</v>
      </c>
      <c r="M397" s="29">
        <v>1</v>
      </c>
      <c r="N397" s="5"/>
      <c r="O397" s="5"/>
      <c r="P397" s="5"/>
      <c r="Q397" s="139">
        <f t="shared" si="366"/>
        <v>0</v>
      </c>
    </row>
    <row r="398" spans="1:17" ht="29.25" hidden="1" customHeight="1">
      <c r="A398" s="214"/>
      <c r="B398" s="986" t="s">
        <v>363</v>
      </c>
      <c r="C398" s="957"/>
      <c r="D398" s="191" t="s">
        <v>364</v>
      </c>
      <c r="E398" s="192"/>
      <c r="F398" s="192"/>
      <c r="G398" s="193">
        <f>SUM(F398,E398)</f>
        <v>0</v>
      </c>
      <c r="H398" s="195">
        <f>ROUND(F398*H$7,)</f>
        <v>0</v>
      </c>
      <c r="I398" s="209">
        <f t="shared" ref="I398:J400" si="407">ROUND(H398*I$7,)</f>
        <v>0</v>
      </c>
      <c r="J398" s="209">
        <f t="shared" si="407"/>
        <v>0</v>
      </c>
      <c r="K398" s="145">
        <f t="shared" si="321"/>
        <v>0</v>
      </c>
      <c r="L398" s="145">
        <f t="shared" si="324"/>
        <v>0</v>
      </c>
      <c r="M398" s="5"/>
      <c r="N398" s="5"/>
      <c r="O398" s="5"/>
      <c r="P398" s="5"/>
      <c r="Q398" s="139">
        <f t="shared" si="366"/>
        <v>0</v>
      </c>
    </row>
    <row r="399" spans="1:17" ht="42" hidden="1" customHeight="1">
      <c r="A399" s="214"/>
      <c r="B399" s="986" t="s">
        <v>365</v>
      </c>
      <c r="C399" s="957"/>
      <c r="D399" s="191" t="s">
        <v>366</v>
      </c>
      <c r="E399" s="192"/>
      <c r="F399" s="192"/>
      <c r="G399" s="193">
        <f>SUM(F399,E399)</f>
        <v>0</v>
      </c>
      <c r="H399" s="195">
        <f>ROUND(F399*H$7,)</f>
        <v>0</v>
      </c>
      <c r="I399" s="209">
        <f t="shared" si="407"/>
        <v>0</v>
      </c>
      <c r="J399" s="209">
        <f t="shared" si="407"/>
        <v>0</v>
      </c>
      <c r="K399" s="145">
        <f t="shared" si="321"/>
        <v>0</v>
      </c>
      <c r="L399" s="145">
        <f t="shared" si="324"/>
        <v>0</v>
      </c>
      <c r="M399" s="5"/>
      <c r="N399" s="5"/>
      <c r="O399" s="5"/>
      <c r="P399" s="5"/>
      <c r="Q399" s="139">
        <f t="shared" si="366"/>
        <v>0</v>
      </c>
    </row>
    <row r="400" spans="1:17" ht="12.75" hidden="1" customHeight="1">
      <c r="A400" s="220"/>
      <c r="B400" s="988" t="s">
        <v>367</v>
      </c>
      <c r="C400" s="957"/>
      <c r="D400" s="247" t="s">
        <v>368</v>
      </c>
      <c r="E400" s="200"/>
      <c r="F400" s="200"/>
      <c r="G400" s="201">
        <f>SUM(F400,E400)</f>
        <v>0</v>
      </c>
      <c r="H400" s="195">
        <f>ROUND(F400*H$7,)</f>
        <v>0</v>
      </c>
      <c r="I400" s="209">
        <f t="shared" si="407"/>
        <v>0</v>
      </c>
      <c r="J400" s="209">
        <f t="shared" si="407"/>
        <v>0</v>
      </c>
      <c r="K400" s="137">
        <f t="shared" si="321"/>
        <v>0</v>
      </c>
      <c r="L400" s="145">
        <f t="shared" si="324"/>
        <v>0</v>
      </c>
      <c r="M400" s="132"/>
      <c r="N400" s="132"/>
      <c r="O400" s="132"/>
      <c r="P400" s="132"/>
      <c r="Q400" s="139">
        <f t="shared" si="366"/>
        <v>0</v>
      </c>
    </row>
    <row r="401" spans="1:17" ht="12.75" customHeight="1">
      <c r="A401" s="990" t="s">
        <v>706</v>
      </c>
      <c r="B401" s="948"/>
      <c r="C401" s="948"/>
      <c r="D401" s="92" t="s">
        <v>370</v>
      </c>
      <c r="E401" s="93">
        <f t="shared" ref="E401:F401" si="408">SUM(E402:E406)</f>
        <v>118.5</v>
      </c>
      <c r="F401" s="93">
        <f t="shared" si="408"/>
        <v>0</v>
      </c>
      <c r="G401" s="94">
        <f t="shared" ref="G401" si="409">SUM(G402:G406)</f>
        <v>118.5</v>
      </c>
      <c r="H401" s="96">
        <f t="shared" ref="H401:J401" si="410">SUM(H402:H406)</f>
        <v>0</v>
      </c>
      <c r="I401" s="141">
        <f t="shared" si="410"/>
        <v>0</v>
      </c>
      <c r="J401" s="141">
        <f t="shared" si="410"/>
        <v>0</v>
      </c>
      <c r="K401" s="137">
        <f t="shared" si="321"/>
        <v>237</v>
      </c>
      <c r="L401" s="137">
        <f t="shared" si="324"/>
        <v>118.5</v>
      </c>
      <c r="M401" s="132"/>
      <c r="N401" s="132"/>
      <c r="O401" s="132"/>
      <c r="P401" s="132"/>
      <c r="Q401" s="139">
        <f t="shared" ref="Q401:Q464" si="411">E401-G401</f>
        <v>0</v>
      </c>
    </row>
    <row r="402" spans="1:17" ht="12.75" hidden="1" customHeight="1">
      <c r="A402" s="214"/>
      <c r="B402" s="986" t="s">
        <v>371</v>
      </c>
      <c r="C402" s="957"/>
      <c r="D402" s="191" t="s">
        <v>372</v>
      </c>
      <c r="E402" s="192"/>
      <c r="F402" s="192"/>
      <c r="G402" s="193">
        <f>SUM(F402,E402)</f>
        <v>0</v>
      </c>
      <c r="H402" s="195">
        <f>ROUND(F402*H$7,)</f>
        <v>0</v>
      </c>
      <c r="I402" s="209">
        <f t="shared" ref="I402:J405" si="412">ROUND(H402*I$7,)</f>
        <v>0</v>
      </c>
      <c r="J402" s="209">
        <f t="shared" si="412"/>
        <v>0</v>
      </c>
      <c r="K402" s="145">
        <f t="shared" si="321"/>
        <v>0</v>
      </c>
      <c r="L402" s="145">
        <f t="shared" si="324"/>
        <v>0</v>
      </c>
      <c r="M402" s="5"/>
      <c r="N402" s="5"/>
      <c r="O402" s="5"/>
      <c r="P402" s="5"/>
      <c r="Q402" s="139">
        <f t="shared" si="411"/>
        <v>0</v>
      </c>
    </row>
    <row r="403" spans="1:17" ht="12.75" hidden="1" customHeight="1">
      <c r="A403" s="214"/>
      <c r="B403" s="986" t="s">
        <v>373</v>
      </c>
      <c r="C403" s="957"/>
      <c r="D403" s="191" t="s">
        <v>374</v>
      </c>
      <c r="E403" s="238"/>
      <c r="F403" s="238"/>
      <c r="G403" s="248">
        <f>SUM(F403,E403)</f>
        <v>0</v>
      </c>
      <c r="H403" s="249">
        <f>ROUND(F403*H$7,)</f>
        <v>0</v>
      </c>
      <c r="I403" s="265">
        <f t="shared" si="412"/>
        <v>0</v>
      </c>
      <c r="J403" s="265">
        <f t="shared" si="412"/>
        <v>0</v>
      </c>
      <c r="K403" s="145">
        <f t="shared" si="321"/>
        <v>0</v>
      </c>
      <c r="L403" s="145">
        <f t="shared" si="324"/>
        <v>0</v>
      </c>
      <c r="M403" s="5"/>
      <c r="N403" s="5"/>
      <c r="O403" s="5"/>
      <c r="P403" s="5"/>
      <c r="Q403" s="139">
        <f t="shared" si="411"/>
        <v>0</v>
      </c>
    </row>
    <row r="404" spans="1:17" ht="12.75" hidden="1" customHeight="1">
      <c r="A404" s="214"/>
      <c r="B404" s="986" t="s">
        <v>375</v>
      </c>
      <c r="C404" s="957"/>
      <c r="D404" s="191" t="s">
        <v>376</v>
      </c>
      <c r="E404" s="192"/>
      <c r="F404" s="192"/>
      <c r="G404" s="193">
        <f>SUM(F404,E404)</f>
        <v>0</v>
      </c>
      <c r="H404" s="195">
        <f>ROUND(F404*H$7,)</f>
        <v>0</v>
      </c>
      <c r="I404" s="209">
        <f t="shared" si="412"/>
        <v>0</v>
      </c>
      <c r="J404" s="209">
        <f t="shared" si="412"/>
        <v>0</v>
      </c>
      <c r="K404" s="145">
        <f t="shared" si="321"/>
        <v>0</v>
      </c>
      <c r="L404" s="145">
        <f t="shared" si="324"/>
        <v>0</v>
      </c>
      <c r="M404" s="5"/>
      <c r="N404" s="5"/>
      <c r="O404" s="5"/>
      <c r="P404" s="5"/>
      <c r="Q404" s="139">
        <f t="shared" si="411"/>
        <v>0</v>
      </c>
    </row>
    <row r="405" spans="1:17" ht="25.5" hidden="1" customHeight="1">
      <c r="A405" s="214"/>
      <c r="B405" s="986" t="s">
        <v>379</v>
      </c>
      <c r="C405" s="957"/>
      <c r="D405" s="226" t="s">
        <v>380</v>
      </c>
      <c r="E405" s="238"/>
      <c r="F405" s="238"/>
      <c r="G405" s="193">
        <f>SUM(F405,E405)</f>
        <v>0</v>
      </c>
      <c r="H405" s="195">
        <f>ROUND(F405*H$7,)</f>
        <v>0</v>
      </c>
      <c r="I405" s="209">
        <f t="shared" si="412"/>
        <v>0</v>
      </c>
      <c r="J405" s="209">
        <f t="shared" si="412"/>
        <v>0</v>
      </c>
      <c r="K405" s="145">
        <f t="shared" si="321"/>
        <v>0</v>
      </c>
      <c r="L405" s="145">
        <f t="shared" si="324"/>
        <v>0</v>
      </c>
      <c r="M405" s="5"/>
      <c r="N405" s="5"/>
      <c r="O405" s="5"/>
      <c r="P405" s="5"/>
      <c r="Q405" s="139">
        <f t="shared" si="411"/>
        <v>0</v>
      </c>
    </row>
    <row r="406" spans="1:17" ht="12.75" customHeight="1">
      <c r="A406" s="220"/>
      <c r="B406" s="988" t="s">
        <v>383</v>
      </c>
      <c r="C406" s="957"/>
      <c r="D406" s="199" t="s">
        <v>384</v>
      </c>
      <c r="E406" s="200">
        <f>97.5+21</f>
        <v>118.5</v>
      </c>
      <c r="F406" s="200"/>
      <c r="G406" s="201">
        <f>SUM(F406,E406)</f>
        <v>118.5</v>
      </c>
      <c r="H406" s="202">
        <f>ROUND(F406*H$7,)</f>
        <v>0</v>
      </c>
      <c r="I406" s="210">
        <f>ROUND(F406*I$7,)</f>
        <v>0</v>
      </c>
      <c r="J406" s="210">
        <f>ROUND(F406*J$7,)</f>
        <v>0</v>
      </c>
      <c r="K406" s="137">
        <f t="shared" si="321"/>
        <v>237</v>
      </c>
      <c r="L406" s="137">
        <f t="shared" si="324"/>
        <v>118.5</v>
      </c>
      <c r="M406" s="245">
        <v>1.1499999999999999</v>
      </c>
      <c r="N406" s="132"/>
      <c r="O406" s="132"/>
      <c r="P406" s="132"/>
      <c r="Q406" s="139">
        <f t="shared" si="411"/>
        <v>0</v>
      </c>
    </row>
    <row r="407" spans="1:17" ht="12.75" customHeight="1">
      <c r="A407" s="990" t="s">
        <v>707</v>
      </c>
      <c r="B407" s="948"/>
      <c r="C407" s="948"/>
      <c r="D407" s="92" t="s">
        <v>386</v>
      </c>
      <c r="E407" s="93">
        <f t="shared" ref="E407:F407" si="413">SUM(E408:E410)</f>
        <v>-32759.8</v>
      </c>
      <c r="F407" s="93">
        <f t="shared" si="413"/>
        <v>0</v>
      </c>
      <c r="G407" s="94">
        <f t="shared" ref="G407" si="414">SUM(G408:G410)</f>
        <v>-32759.8</v>
      </c>
      <c r="H407" s="96">
        <f t="shared" ref="H407:J407" si="415">SUM(H408:H410)</f>
        <v>0</v>
      </c>
      <c r="I407" s="141">
        <f t="shared" si="415"/>
        <v>0</v>
      </c>
      <c r="J407" s="141">
        <f t="shared" si="415"/>
        <v>0</v>
      </c>
      <c r="K407" s="137">
        <f t="shared" si="321"/>
        <v>-65519.6</v>
      </c>
      <c r="L407" s="137">
        <f t="shared" si="324"/>
        <v>-32759.8</v>
      </c>
      <c r="M407" s="132"/>
      <c r="N407" s="132"/>
      <c r="O407" s="132"/>
      <c r="P407" s="132"/>
      <c r="Q407" s="139">
        <f t="shared" si="411"/>
        <v>0</v>
      </c>
    </row>
    <row r="408" spans="1:17" ht="12.75" hidden="1" customHeight="1">
      <c r="A408" s="220"/>
      <c r="B408" s="988" t="s">
        <v>387</v>
      </c>
      <c r="C408" s="957"/>
      <c r="D408" s="199" t="s">
        <v>388</v>
      </c>
      <c r="E408" s="200"/>
      <c r="F408" s="200"/>
      <c r="G408" s="193">
        <f>SUM(F408,E408)</f>
        <v>0</v>
      </c>
      <c r="H408" s="202">
        <f>ROUND(F408*H$7,)</f>
        <v>0</v>
      </c>
      <c r="I408" s="210">
        <f>ROUND(F408*I$7,)</f>
        <v>0</v>
      </c>
      <c r="J408" s="210">
        <f>ROUND(F408*J$7,)</f>
        <v>0</v>
      </c>
      <c r="K408" s="145">
        <f t="shared" si="321"/>
        <v>0</v>
      </c>
      <c r="L408" s="145">
        <f t="shared" si="324"/>
        <v>0</v>
      </c>
      <c r="M408" s="5"/>
      <c r="N408" s="5"/>
      <c r="O408" s="5"/>
      <c r="P408" s="5"/>
      <c r="Q408" s="139">
        <f t="shared" si="411"/>
        <v>0</v>
      </c>
    </row>
    <row r="409" spans="1:17" ht="28.5" customHeight="1">
      <c r="A409" s="250"/>
      <c r="B409" s="991" t="s">
        <v>389</v>
      </c>
      <c r="C409" s="992"/>
      <c r="D409" s="251" t="s">
        <v>390</v>
      </c>
      <c r="E409" s="252">
        <v>-32759.8</v>
      </c>
      <c r="F409" s="252"/>
      <c r="G409" s="253">
        <f>SUM(E409:F409)</f>
        <v>-32759.8</v>
      </c>
      <c r="H409" s="254"/>
      <c r="I409" s="254"/>
      <c r="J409" s="62"/>
      <c r="K409" s="62">
        <f t="shared" si="321"/>
        <v>-65519.6</v>
      </c>
      <c r="L409" s="62">
        <f t="shared" si="324"/>
        <v>-32759.8</v>
      </c>
      <c r="M409" s="62"/>
      <c r="N409" s="62"/>
      <c r="O409" s="62"/>
      <c r="P409" s="62"/>
      <c r="Q409" s="139">
        <f t="shared" si="411"/>
        <v>0</v>
      </c>
    </row>
    <row r="410" spans="1:17" ht="12.75" hidden="1" customHeight="1">
      <c r="A410" s="214"/>
      <c r="B410" s="986" t="s">
        <v>395</v>
      </c>
      <c r="C410" s="957"/>
      <c r="D410" s="226" t="s">
        <v>396</v>
      </c>
      <c r="E410" s="192"/>
      <c r="F410" s="192"/>
      <c r="G410" s="193">
        <f>SUM(F410,E410)</f>
        <v>0</v>
      </c>
      <c r="H410" s="202">
        <f>ROUND(F410*H$7,)</f>
        <v>0</v>
      </c>
      <c r="I410" s="210">
        <f>ROUND(F410*I$7,)</f>
        <v>0</v>
      </c>
      <c r="J410" s="210">
        <f>ROUND(F410*J$7,)</f>
        <v>0</v>
      </c>
      <c r="K410" s="145">
        <f t="shared" si="321"/>
        <v>0</v>
      </c>
      <c r="L410" s="145">
        <f t="shared" si="324"/>
        <v>0</v>
      </c>
      <c r="M410" s="5"/>
      <c r="N410" s="5"/>
      <c r="O410" s="5"/>
      <c r="P410" s="5"/>
      <c r="Q410" s="139">
        <f t="shared" si="411"/>
        <v>0</v>
      </c>
    </row>
    <row r="411" spans="1:17" ht="12.75" hidden="1" customHeight="1">
      <c r="A411" s="989" t="s">
        <v>411</v>
      </c>
      <c r="B411" s="948"/>
      <c r="C411" s="948"/>
      <c r="D411" s="97" t="s">
        <v>412</v>
      </c>
      <c r="E411" s="98">
        <f t="shared" ref="E411:F411" si="416">SUM(E412)</f>
        <v>0</v>
      </c>
      <c r="F411" s="98">
        <f t="shared" si="416"/>
        <v>0</v>
      </c>
      <c r="G411" s="99">
        <f t="shared" ref="G411:J411" si="417">SUM(G412)</f>
        <v>0</v>
      </c>
      <c r="H411" s="96">
        <f t="shared" si="417"/>
        <v>0</v>
      </c>
      <c r="I411" s="141">
        <f t="shared" si="417"/>
        <v>0</v>
      </c>
      <c r="J411" s="141">
        <f t="shared" si="417"/>
        <v>0</v>
      </c>
      <c r="K411" s="145">
        <f t="shared" si="321"/>
        <v>0</v>
      </c>
      <c r="L411" s="145">
        <f t="shared" si="324"/>
        <v>0</v>
      </c>
      <c r="M411" s="5"/>
      <c r="N411" s="5"/>
      <c r="O411" s="5"/>
      <c r="P411" s="5"/>
      <c r="Q411" s="139">
        <f t="shared" si="411"/>
        <v>0</v>
      </c>
    </row>
    <row r="412" spans="1:17" ht="12.75" hidden="1" customHeight="1">
      <c r="A412" s="989" t="s">
        <v>413</v>
      </c>
      <c r="B412" s="948"/>
      <c r="C412" s="948"/>
      <c r="D412" s="97" t="s">
        <v>414</v>
      </c>
      <c r="E412" s="98">
        <f t="shared" ref="E412:F412" si="418">SUM(E413:E417)</f>
        <v>0</v>
      </c>
      <c r="F412" s="98">
        <f t="shared" si="418"/>
        <v>0</v>
      </c>
      <c r="G412" s="99">
        <f t="shared" ref="G412:J412" si="419">SUM(G413:G417)</f>
        <v>0</v>
      </c>
      <c r="H412" s="96">
        <f t="shared" si="419"/>
        <v>0</v>
      </c>
      <c r="I412" s="141">
        <f t="shared" si="419"/>
        <v>0</v>
      </c>
      <c r="J412" s="141">
        <f t="shared" si="419"/>
        <v>0</v>
      </c>
      <c r="K412" s="145">
        <f t="shared" si="321"/>
        <v>0</v>
      </c>
      <c r="L412" s="145">
        <f t="shared" si="324"/>
        <v>0</v>
      </c>
      <c r="M412" s="5"/>
      <c r="N412" s="5"/>
      <c r="O412" s="5"/>
      <c r="P412" s="5"/>
      <c r="Q412" s="139">
        <f t="shared" si="411"/>
        <v>0</v>
      </c>
    </row>
    <row r="413" spans="1:17" ht="38.25" hidden="1" customHeight="1">
      <c r="A413" s="214"/>
      <c r="B413" s="986" t="s">
        <v>415</v>
      </c>
      <c r="C413" s="957"/>
      <c r="D413" s="191" t="s">
        <v>416</v>
      </c>
      <c r="E413" s="192"/>
      <c r="F413" s="192"/>
      <c r="G413" s="255">
        <f>SUM(F413,E413)</f>
        <v>0</v>
      </c>
      <c r="H413" s="195">
        <f>ROUND(F413*H$7,)</f>
        <v>0</v>
      </c>
      <c r="I413" s="209">
        <f t="shared" ref="I413:J417" si="420">ROUND(H413*I$7,)</f>
        <v>0</v>
      </c>
      <c r="J413" s="209">
        <f t="shared" si="420"/>
        <v>0</v>
      </c>
      <c r="K413" s="145">
        <f t="shared" si="321"/>
        <v>0</v>
      </c>
      <c r="L413" s="145">
        <f t="shared" si="324"/>
        <v>0</v>
      </c>
      <c r="M413" s="5"/>
      <c r="N413" s="5"/>
      <c r="O413" s="5"/>
      <c r="P413" s="5"/>
      <c r="Q413" s="139">
        <f t="shared" si="411"/>
        <v>0</v>
      </c>
    </row>
    <row r="414" spans="1:17" ht="12.75" hidden="1" customHeight="1">
      <c r="A414" s="214"/>
      <c r="B414" s="986" t="s">
        <v>417</v>
      </c>
      <c r="C414" s="957"/>
      <c r="D414" s="191" t="s">
        <v>418</v>
      </c>
      <c r="E414" s="192"/>
      <c r="F414" s="192"/>
      <c r="G414" s="255">
        <f>SUM(F414,E414)</f>
        <v>0</v>
      </c>
      <c r="H414" s="195">
        <f>ROUND(F414*H$7,)</f>
        <v>0</v>
      </c>
      <c r="I414" s="209">
        <f t="shared" si="420"/>
        <v>0</v>
      </c>
      <c r="J414" s="209">
        <f t="shared" si="420"/>
        <v>0</v>
      </c>
      <c r="K414" s="145">
        <f t="shared" si="321"/>
        <v>0</v>
      </c>
      <c r="L414" s="145">
        <f t="shared" si="324"/>
        <v>0</v>
      </c>
      <c r="M414" s="5"/>
      <c r="N414" s="5"/>
      <c r="O414" s="5"/>
      <c r="P414" s="5"/>
      <c r="Q414" s="139">
        <f t="shared" si="411"/>
        <v>0</v>
      </c>
    </row>
    <row r="415" spans="1:17" ht="12.75" hidden="1" customHeight="1">
      <c r="A415" s="214"/>
      <c r="B415" s="986" t="s">
        <v>708</v>
      </c>
      <c r="C415" s="957"/>
      <c r="D415" s="191" t="s">
        <v>420</v>
      </c>
      <c r="E415" s="192"/>
      <c r="F415" s="192"/>
      <c r="G415" s="255">
        <f>SUM(F415,E415)</f>
        <v>0</v>
      </c>
      <c r="H415" s="195">
        <f>ROUND(F415*H$7,)</f>
        <v>0</v>
      </c>
      <c r="I415" s="209">
        <f t="shared" si="420"/>
        <v>0</v>
      </c>
      <c r="J415" s="209">
        <f t="shared" si="420"/>
        <v>0</v>
      </c>
      <c r="K415" s="145">
        <f t="shared" si="321"/>
        <v>0</v>
      </c>
      <c r="L415" s="145">
        <f t="shared" si="324"/>
        <v>0</v>
      </c>
      <c r="M415" s="5"/>
      <c r="N415" s="5"/>
      <c r="O415" s="5"/>
      <c r="P415" s="5"/>
      <c r="Q415" s="139">
        <f t="shared" si="411"/>
        <v>0</v>
      </c>
    </row>
    <row r="416" spans="1:17" ht="27" hidden="1" customHeight="1">
      <c r="A416" s="214"/>
      <c r="B416" s="986" t="s">
        <v>709</v>
      </c>
      <c r="C416" s="957"/>
      <c r="D416" s="191" t="s">
        <v>422</v>
      </c>
      <c r="E416" s="192"/>
      <c r="F416" s="192"/>
      <c r="G416" s="255">
        <f>SUM(F416,E416)</f>
        <v>0</v>
      </c>
      <c r="H416" s="195">
        <f>ROUND(F416*H$7,)</f>
        <v>0</v>
      </c>
      <c r="I416" s="209">
        <f t="shared" si="420"/>
        <v>0</v>
      </c>
      <c r="J416" s="209">
        <f t="shared" si="420"/>
        <v>0</v>
      </c>
      <c r="K416" s="145">
        <f t="shared" si="321"/>
        <v>0</v>
      </c>
      <c r="L416" s="145">
        <f t="shared" si="324"/>
        <v>0</v>
      </c>
      <c r="M416" s="5"/>
      <c r="N416" s="5"/>
      <c r="O416" s="5"/>
      <c r="P416" s="5"/>
      <c r="Q416" s="139">
        <f t="shared" si="411"/>
        <v>0</v>
      </c>
    </row>
    <row r="417" spans="1:17" ht="12.75" hidden="1" customHeight="1">
      <c r="A417" s="214"/>
      <c r="B417" s="986" t="s">
        <v>429</v>
      </c>
      <c r="C417" s="957"/>
      <c r="D417" s="191" t="s">
        <v>430</v>
      </c>
      <c r="E417" s="192"/>
      <c r="F417" s="192"/>
      <c r="G417" s="255">
        <f>SUM(F417,E417)</f>
        <v>0</v>
      </c>
      <c r="H417" s="195">
        <f>ROUND(F417*H$7,)</f>
        <v>0</v>
      </c>
      <c r="I417" s="209">
        <f t="shared" si="420"/>
        <v>0</v>
      </c>
      <c r="J417" s="209">
        <f t="shared" si="420"/>
        <v>0</v>
      </c>
      <c r="K417" s="145">
        <f t="shared" si="321"/>
        <v>0</v>
      </c>
      <c r="L417" s="145">
        <f t="shared" si="324"/>
        <v>0</v>
      </c>
      <c r="M417" s="5"/>
      <c r="N417" s="5"/>
      <c r="O417" s="5"/>
      <c r="P417" s="5"/>
      <c r="Q417" s="139">
        <f t="shared" si="411"/>
        <v>0</v>
      </c>
    </row>
    <row r="418" spans="1:17" ht="12.75" customHeight="1">
      <c r="A418" s="990" t="s">
        <v>710</v>
      </c>
      <c r="B418" s="948"/>
      <c r="C418" s="948"/>
      <c r="D418" s="92" t="s">
        <v>432</v>
      </c>
      <c r="E418" s="93">
        <f t="shared" ref="E418:F418" si="421">SUM(E419)</f>
        <v>8377</v>
      </c>
      <c r="F418" s="93">
        <f t="shared" si="421"/>
        <v>0</v>
      </c>
      <c r="G418" s="94">
        <f t="shared" ref="G418:J418" si="422">SUM(G419)</f>
        <v>8377</v>
      </c>
      <c r="H418" s="96">
        <f t="shared" si="422"/>
        <v>0</v>
      </c>
      <c r="I418" s="141">
        <f t="shared" si="422"/>
        <v>0</v>
      </c>
      <c r="J418" s="141">
        <f t="shared" si="422"/>
        <v>0</v>
      </c>
      <c r="K418" s="137">
        <f t="shared" si="321"/>
        <v>16754</v>
      </c>
      <c r="L418" s="137">
        <f t="shared" si="324"/>
        <v>8377</v>
      </c>
      <c r="M418" s="132"/>
      <c r="N418" s="132"/>
      <c r="O418" s="132"/>
      <c r="P418" s="132"/>
      <c r="Q418" s="139">
        <f t="shared" si="411"/>
        <v>0</v>
      </c>
    </row>
    <row r="419" spans="1:17" ht="12.75" customHeight="1">
      <c r="A419" s="990" t="s">
        <v>711</v>
      </c>
      <c r="B419" s="948"/>
      <c r="C419" s="948"/>
      <c r="D419" s="92" t="s">
        <v>434</v>
      </c>
      <c r="E419" s="93">
        <f t="shared" ref="E419:F419" si="423">SUM(E420,E441)</f>
        <v>8377</v>
      </c>
      <c r="F419" s="93">
        <f t="shared" si="423"/>
        <v>0</v>
      </c>
      <c r="G419" s="94">
        <f t="shared" ref="G419:J419" si="424">SUM(G420,G441)</f>
        <v>8377</v>
      </c>
      <c r="H419" s="96">
        <f t="shared" si="424"/>
        <v>0</v>
      </c>
      <c r="I419" s="141">
        <f t="shared" si="424"/>
        <v>0</v>
      </c>
      <c r="J419" s="141">
        <f t="shared" si="424"/>
        <v>0</v>
      </c>
      <c r="K419" s="137">
        <f t="shared" si="321"/>
        <v>16754</v>
      </c>
      <c r="L419" s="137">
        <f t="shared" si="324"/>
        <v>8377</v>
      </c>
      <c r="M419" s="132"/>
      <c r="N419" s="132"/>
      <c r="O419" s="132"/>
      <c r="P419" s="132"/>
      <c r="Q419" s="139">
        <f t="shared" si="411"/>
        <v>0</v>
      </c>
    </row>
    <row r="420" spans="1:17" ht="12.75" customHeight="1">
      <c r="A420" s="990" t="s">
        <v>435</v>
      </c>
      <c r="B420" s="948"/>
      <c r="C420" s="948"/>
      <c r="D420" s="92" t="s">
        <v>436</v>
      </c>
      <c r="E420" s="93">
        <f t="shared" ref="E420:F420" si="425">SUM(E421)</f>
        <v>8377</v>
      </c>
      <c r="F420" s="93">
        <f t="shared" si="425"/>
        <v>0</v>
      </c>
      <c r="G420" s="94">
        <f t="shared" ref="G420:J420" si="426">SUM(G421)</f>
        <v>8377</v>
      </c>
      <c r="H420" s="96">
        <f t="shared" si="426"/>
        <v>0</v>
      </c>
      <c r="I420" s="141">
        <f t="shared" si="426"/>
        <v>0</v>
      </c>
      <c r="J420" s="141">
        <f t="shared" si="426"/>
        <v>0</v>
      </c>
      <c r="K420" s="137">
        <f t="shared" si="321"/>
        <v>16754</v>
      </c>
      <c r="L420" s="137">
        <f t="shared" si="324"/>
        <v>8377</v>
      </c>
      <c r="M420" s="132"/>
      <c r="N420" s="132"/>
      <c r="O420" s="132"/>
      <c r="P420" s="132"/>
      <c r="Q420" s="139">
        <f t="shared" si="411"/>
        <v>0</v>
      </c>
    </row>
    <row r="421" spans="1:17" ht="12.75" customHeight="1">
      <c r="A421" s="990" t="s">
        <v>712</v>
      </c>
      <c r="B421" s="948"/>
      <c r="C421" s="948"/>
      <c r="D421" s="92" t="s">
        <v>492</v>
      </c>
      <c r="E421" s="93">
        <f>SUM(E422:E436,E438,E440)</f>
        <v>8377</v>
      </c>
      <c r="F421" s="93">
        <f>SUM(F422:F436,F438,F440)</f>
        <v>0</v>
      </c>
      <c r="G421" s="94">
        <f>SUM(G422:G436,G438,G440)</f>
        <v>8377</v>
      </c>
      <c r="H421" s="96">
        <f>SUM(H422:H438)</f>
        <v>0</v>
      </c>
      <c r="I421" s="141">
        <f>SUM(I422:I438)</f>
        <v>0</v>
      </c>
      <c r="J421" s="141">
        <f>SUM(J422:J438)</f>
        <v>0</v>
      </c>
      <c r="K421" s="137">
        <f t="shared" si="321"/>
        <v>16754</v>
      </c>
      <c r="L421" s="137">
        <f t="shared" si="324"/>
        <v>8377</v>
      </c>
      <c r="M421" s="132"/>
      <c r="N421" s="132"/>
      <c r="O421" s="132"/>
      <c r="P421" s="132"/>
      <c r="Q421" s="139">
        <f t="shared" si="411"/>
        <v>0</v>
      </c>
    </row>
    <row r="422" spans="1:17" ht="12.75" customHeight="1">
      <c r="A422" s="197"/>
      <c r="B422" s="988" t="s">
        <v>493</v>
      </c>
      <c r="C422" s="957"/>
      <c r="D422" s="199" t="s">
        <v>494</v>
      </c>
      <c r="E422" s="200">
        <v>8377</v>
      </c>
      <c r="F422" s="200"/>
      <c r="G422" s="256">
        <f t="shared" ref="G422:G440" si="427">SUM(E422:F422)</f>
        <v>8377</v>
      </c>
      <c r="H422" s="195">
        <f t="shared" ref="H422:H433" si="428">ROUND(F422*H$7,)</f>
        <v>0</v>
      </c>
      <c r="I422" s="209">
        <f t="shared" ref="I422:J432" si="429">ROUND(H422*I$7,)</f>
        <v>0</v>
      </c>
      <c r="J422" s="209">
        <f t="shared" si="429"/>
        <v>0</v>
      </c>
      <c r="K422" s="137">
        <f t="shared" si="321"/>
        <v>16754</v>
      </c>
      <c r="L422" s="137">
        <f t="shared" si="324"/>
        <v>8377</v>
      </c>
      <c r="M422" s="132"/>
      <c r="N422" s="132"/>
      <c r="O422" s="132"/>
      <c r="P422" s="132"/>
      <c r="Q422" s="139">
        <f t="shared" si="411"/>
        <v>0</v>
      </c>
    </row>
    <row r="423" spans="1:17" ht="12.75" hidden="1" customHeight="1">
      <c r="A423" s="189"/>
      <c r="B423" s="986" t="s">
        <v>495</v>
      </c>
      <c r="C423" s="957"/>
      <c r="D423" s="191" t="s">
        <v>496</v>
      </c>
      <c r="E423" s="192"/>
      <c r="F423" s="192"/>
      <c r="G423" s="255">
        <f t="shared" si="427"/>
        <v>0</v>
      </c>
      <c r="H423" s="195">
        <f t="shared" si="428"/>
        <v>0</v>
      </c>
      <c r="I423" s="209">
        <f t="shared" si="429"/>
        <v>0</v>
      </c>
      <c r="J423" s="209">
        <f t="shared" si="429"/>
        <v>0</v>
      </c>
      <c r="K423" s="145">
        <f t="shared" si="321"/>
        <v>0</v>
      </c>
      <c r="L423" s="145">
        <f t="shared" si="324"/>
        <v>0</v>
      </c>
      <c r="M423" s="5"/>
      <c r="N423" s="5"/>
      <c r="O423" s="5"/>
      <c r="P423" s="5"/>
      <c r="Q423" s="139">
        <f t="shared" si="411"/>
        <v>0</v>
      </c>
    </row>
    <row r="424" spans="1:17" ht="12.75" hidden="1" customHeight="1">
      <c r="A424" s="189"/>
      <c r="B424" s="986" t="s">
        <v>497</v>
      </c>
      <c r="C424" s="957"/>
      <c r="D424" s="191" t="s">
        <v>498</v>
      </c>
      <c r="E424" s="192"/>
      <c r="F424" s="192"/>
      <c r="G424" s="255">
        <f t="shared" si="427"/>
        <v>0</v>
      </c>
      <c r="H424" s="195">
        <f t="shared" si="428"/>
        <v>0</v>
      </c>
      <c r="I424" s="209">
        <f t="shared" si="429"/>
        <v>0</v>
      </c>
      <c r="J424" s="209">
        <f t="shared" si="429"/>
        <v>0</v>
      </c>
      <c r="K424" s="145">
        <f t="shared" si="321"/>
        <v>0</v>
      </c>
      <c r="L424" s="145">
        <f t="shared" si="324"/>
        <v>0</v>
      </c>
      <c r="M424" s="5"/>
      <c r="N424" s="5"/>
      <c r="O424" s="5"/>
      <c r="P424" s="5"/>
      <c r="Q424" s="139">
        <f t="shared" si="411"/>
        <v>0</v>
      </c>
    </row>
    <row r="425" spans="1:17" ht="25.5" hidden="1" customHeight="1">
      <c r="A425" s="189"/>
      <c r="B425" s="986" t="s">
        <v>499</v>
      </c>
      <c r="C425" s="957"/>
      <c r="D425" s="191" t="s">
        <v>500</v>
      </c>
      <c r="E425" s="192"/>
      <c r="F425" s="192"/>
      <c r="G425" s="255">
        <f t="shared" si="427"/>
        <v>0</v>
      </c>
      <c r="H425" s="195">
        <f t="shared" si="428"/>
        <v>0</v>
      </c>
      <c r="I425" s="209">
        <f t="shared" si="429"/>
        <v>0</v>
      </c>
      <c r="J425" s="209">
        <f t="shared" si="429"/>
        <v>0</v>
      </c>
      <c r="K425" s="145">
        <f t="shared" si="321"/>
        <v>0</v>
      </c>
      <c r="L425" s="145">
        <f t="shared" si="324"/>
        <v>0</v>
      </c>
      <c r="M425" s="5"/>
      <c r="N425" s="5"/>
      <c r="O425" s="5"/>
      <c r="P425" s="5"/>
      <c r="Q425" s="139">
        <f t="shared" si="411"/>
        <v>0</v>
      </c>
    </row>
    <row r="426" spans="1:17" ht="12.75" hidden="1" customHeight="1">
      <c r="A426" s="189"/>
      <c r="B426" s="986" t="s">
        <v>501</v>
      </c>
      <c r="C426" s="957"/>
      <c r="D426" s="191" t="s">
        <v>502</v>
      </c>
      <c r="E426" s="192"/>
      <c r="F426" s="192"/>
      <c r="G426" s="255">
        <f t="shared" si="427"/>
        <v>0</v>
      </c>
      <c r="H426" s="195">
        <f t="shared" si="428"/>
        <v>0</v>
      </c>
      <c r="I426" s="209">
        <f t="shared" si="429"/>
        <v>0</v>
      </c>
      <c r="J426" s="209">
        <f t="shared" si="429"/>
        <v>0</v>
      </c>
      <c r="K426" s="145">
        <f t="shared" si="321"/>
        <v>0</v>
      </c>
      <c r="L426" s="145">
        <f t="shared" si="324"/>
        <v>0</v>
      </c>
      <c r="M426" s="5"/>
      <c r="N426" s="5"/>
      <c r="O426" s="5"/>
      <c r="P426" s="5"/>
      <c r="Q426" s="139">
        <f t="shared" si="411"/>
        <v>0</v>
      </c>
    </row>
    <row r="427" spans="1:17" ht="30" hidden="1" customHeight="1">
      <c r="A427" s="189"/>
      <c r="B427" s="986" t="s">
        <v>503</v>
      </c>
      <c r="C427" s="957"/>
      <c r="D427" s="191" t="s">
        <v>504</v>
      </c>
      <c r="E427" s="192"/>
      <c r="F427" s="192"/>
      <c r="G427" s="255">
        <f t="shared" si="427"/>
        <v>0</v>
      </c>
      <c r="H427" s="195">
        <f t="shared" si="428"/>
        <v>0</v>
      </c>
      <c r="I427" s="209">
        <f t="shared" si="429"/>
        <v>0</v>
      </c>
      <c r="J427" s="209">
        <f t="shared" si="429"/>
        <v>0</v>
      </c>
      <c r="K427" s="145">
        <f t="shared" si="321"/>
        <v>0</v>
      </c>
      <c r="L427" s="145">
        <f t="shared" si="324"/>
        <v>0</v>
      </c>
      <c r="M427" s="5"/>
      <c r="N427" s="5"/>
      <c r="O427" s="5"/>
      <c r="P427" s="5"/>
      <c r="Q427" s="139">
        <f t="shared" si="411"/>
        <v>0</v>
      </c>
    </row>
    <row r="428" spans="1:17" ht="30" hidden="1" customHeight="1">
      <c r="A428" s="189"/>
      <c r="B428" s="986" t="s">
        <v>505</v>
      </c>
      <c r="C428" s="957"/>
      <c r="D428" s="191" t="s">
        <v>506</v>
      </c>
      <c r="E428" s="192"/>
      <c r="F428" s="192"/>
      <c r="G428" s="255">
        <f t="shared" si="427"/>
        <v>0</v>
      </c>
      <c r="H428" s="195">
        <f t="shared" si="428"/>
        <v>0</v>
      </c>
      <c r="I428" s="209">
        <f t="shared" si="429"/>
        <v>0</v>
      </c>
      <c r="J428" s="209">
        <f t="shared" si="429"/>
        <v>0</v>
      </c>
      <c r="K428" s="145">
        <f t="shared" si="321"/>
        <v>0</v>
      </c>
      <c r="L428" s="145">
        <f t="shared" si="324"/>
        <v>0</v>
      </c>
      <c r="M428" s="5"/>
      <c r="N428" s="5"/>
      <c r="O428" s="5"/>
      <c r="P428" s="5"/>
      <c r="Q428" s="139">
        <f t="shared" si="411"/>
        <v>0</v>
      </c>
    </row>
    <row r="429" spans="1:17" ht="12.75" hidden="1" customHeight="1">
      <c r="A429" s="189"/>
      <c r="B429" s="986" t="s">
        <v>507</v>
      </c>
      <c r="C429" s="957"/>
      <c r="D429" s="191" t="s">
        <v>508</v>
      </c>
      <c r="E429" s="192"/>
      <c r="F429" s="192"/>
      <c r="G429" s="255">
        <f t="shared" si="427"/>
        <v>0</v>
      </c>
      <c r="H429" s="195">
        <f t="shared" si="428"/>
        <v>0</v>
      </c>
      <c r="I429" s="209">
        <f t="shared" si="429"/>
        <v>0</v>
      </c>
      <c r="J429" s="209">
        <f t="shared" si="429"/>
        <v>0</v>
      </c>
      <c r="K429" s="145">
        <f t="shared" si="321"/>
        <v>0</v>
      </c>
      <c r="L429" s="145">
        <f t="shared" si="324"/>
        <v>0</v>
      </c>
      <c r="M429" s="5"/>
      <c r="N429" s="5"/>
      <c r="O429" s="5"/>
      <c r="P429" s="5"/>
      <c r="Q429" s="139">
        <f t="shared" si="411"/>
        <v>0</v>
      </c>
    </row>
    <row r="430" spans="1:17" ht="29.25" hidden="1" customHeight="1">
      <c r="A430" s="189"/>
      <c r="B430" s="986" t="s">
        <v>509</v>
      </c>
      <c r="C430" s="957"/>
      <c r="D430" s="191" t="s">
        <v>510</v>
      </c>
      <c r="E430" s="192"/>
      <c r="F430" s="192"/>
      <c r="G430" s="255">
        <f t="shared" si="427"/>
        <v>0</v>
      </c>
      <c r="H430" s="195">
        <f t="shared" si="428"/>
        <v>0</v>
      </c>
      <c r="I430" s="209">
        <f t="shared" si="429"/>
        <v>0</v>
      </c>
      <c r="J430" s="209">
        <f t="shared" si="429"/>
        <v>0</v>
      </c>
      <c r="K430" s="145">
        <f t="shared" si="321"/>
        <v>0</v>
      </c>
      <c r="L430" s="145">
        <f t="shared" si="324"/>
        <v>0</v>
      </c>
      <c r="M430" s="5"/>
      <c r="N430" s="5"/>
      <c r="O430" s="5"/>
      <c r="P430" s="5"/>
      <c r="Q430" s="139">
        <f t="shared" si="411"/>
        <v>0</v>
      </c>
    </row>
    <row r="431" spans="1:17" ht="30" hidden="1" customHeight="1">
      <c r="A431" s="189"/>
      <c r="B431" s="986" t="s">
        <v>511</v>
      </c>
      <c r="C431" s="957"/>
      <c r="D431" s="191" t="s">
        <v>512</v>
      </c>
      <c r="E431" s="192"/>
      <c r="F431" s="192"/>
      <c r="G431" s="255">
        <f t="shared" si="427"/>
        <v>0</v>
      </c>
      <c r="H431" s="195">
        <f t="shared" si="428"/>
        <v>0</v>
      </c>
      <c r="I431" s="209">
        <f t="shared" si="429"/>
        <v>0</v>
      </c>
      <c r="J431" s="209">
        <f t="shared" si="429"/>
        <v>0</v>
      </c>
      <c r="K431" s="145">
        <f t="shared" si="321"/>
        <v>0</v>
      </c>
      <c r="L431" s="145">
        <f t="shared" si="324"/>
        <v>0</v>
      </c>
      <c r="M431" s="5"/>
      <c r="N431" s="5"/>
      <c r="O431" s="5"/>
      <c r="P431" s="5"/>
      <c r="Q431" s="139">
        <f t="shared" si="411"/>
        <v>0</v>
      </c>
    </row>
    <row r="432" spans="1:17" ht="12.75" hidden="1" customHeight="1">
      <c r="A432" s="189"/>
      <c r="B432" s="986" t="s">
        <v>513</v>
      </c>
      <c r="C432" s="957"/>
      <c r="D432" s="191" t="s">
        <v>514</v>
      </c>
      <c r="E432" s="192"/>
      <c r="F432" s="192"/>
      <c r="G432" s="255">
        <f t="shared" si="427"/>
        <v>0</v>
      </c>
      <c r="H432" s="195">
        <f t="shared" si="428"/>
        <v>0</v>
      </c>
      <c r="I432" s="209">
        <f t="shared" si="429"/>
        <v>0</v>
      </c>
      <c r="J432" s="209">
        <f t="shared" si="429"/>
        <v>0</v>
      </c>
      <c r="K432" s="145">
        <f t="shared" si="321"/>
        <v>0</v>
      </c>
      <c r="L432" s="145">
        <f t="shared" si="324"/>
        <v>0</v>
      </c>
      <c r="M432" s="5"/>
      <c r="N432" s="5"/>
      <c r="O432" s="5"/>
      <c r="P432" s="5"/>
      <c r="Q432" s="139">
        <f t="shared" si="411"/>
        <v>0</v>
      </c>
    </row>
    <row r="433" spans="1:17" ht="30" hidden="1" customHeight="1">
      <c r="A433" s="189"/>
      <c r="B433" s="986" t="s">
        <v>515</v>
      </c>
      <c r="C433" s="957"/>
      <c r="D433" s="191" t="s">
        <v>516</v>
      </c>
      <c r="E433" s="192"/>
      <c r="F433" s="192"/>
      <c r="G433" s="255">
        <f t="shared" si="427"/>
        <v>0</v>
      </c>
      <c r="H433" s="202">
        <f t="shared" si="428"/>
        <v>0</v>
      </c>
      <c r="I433" s="210">
        <f>ROUND(F433*I$7,)</f>
        <v>0</v>
      </c>
      <c r="J433" s="210">
        <f>ROUND(F433*J$7,)</f>
        <v>0</v>
      </c>
      <c r="K433" s="145">
        <f t="shared" si="321"/>
        <v>0</v>
      </c>
      <c r="L433" s="145">
        <f t="shared" si="324"/>
        <v>0</v>
      </c>
      <c r="M433" s="5"/>
      <c r="N433" s="5"/>
      <c r="O433" s="5"/>
      <c r="P433" s="5"/>
      <c r="Q433" s="139">
        <f t="shared" si="411"/>
        <v>0</v>
      </c>
    </row>
    <row r="434" spans="1:17" ht="26.25" hidden="1" customHeight="1">
      <c r="A434" s="189"/>
      <c r="B434" s="986" t="s">
        <v>517</v>
      </c>
      <c r="C434" s="957"/>
      <c r="D434" s="191" t="s">
        <v>518</v>
      </c>
      <c r="E434" s="192"/>
      <c r="F434" s="192"/>
      <c r="G434" s="255">
        <f t="shared" si="427"/>
        <v>0</v>
      </c>
      <c r="H434" s="202"/>
      <c r="I434" s="210"/>
      <c r="J434" s="210"/>
      <c r="K434" s="145">
        <f t="shared" si="321"/>
        <v>0</v>
      </c>
      <c r="L434" s="145">
        <f t="shared" si="324"/>
        <v>0</v>
      </c>
      <c r="M434" s="5"/>
      <c r="N434" s="5"/>
      <c r="O434" s="5"/>
      <c r="P434" s="5"/>
      <c r="Q434" s="139">
        <f t="shared" si="411"/>
        <v>0</v>
      </c>
    </row>
    <row r="435" spans="1:17" ht="30" hidden="1" customHeight="1">
      <c r="A435" s="189"/>
      <c r="B435" s="986" t="s">
        <v>519</v>
      </c>
      <c r="C435" s="957"/>
      <c r="D435" s="191" t="s">
        <v>520</v>
      </c>
      <c r="E435" s="192"/>
      <c r="F435" s="192"/>
      <c r="G435" s="255">
        <f t="shared" si="427"/>
        <v>0</v>
      </c>
      <c r="H435" s="195">
        <f>ROUND(F435*H$7,)</f>
        <v>0</v>
      </c>
      <c r="I435" s="209">
        <f>ROUND(H435*I$7,)</f>
        <v>0</v>
      </c>
      <c r="J435" s="209">
        <f>ROUND(I435*J$7,)</f>
        <v>0</v>
      </c>
      <c r="K435" s="145">
        <f t="shared" si="321"/>
        <v>0</v>
      </c>
      <c r="L435" s="145">
        <f t="shared" si="324"/>
        <v>0</v>
      </c>
      <c r="M435" s="5"/>
      <c r="N435" s="5"/>
      <c r="O435" s="5"/>
      <c r="P435" s="5"/>
      <c r="Q435" s="139">
        <f t="shared" si="411"/>
        <v>0</v>
      </c>
    </row>
    <row r="436" spans="1:17" ht="26.25" hidden="1" customHeight="1">
      <c r="A436" s="189"/>
      <c r="B436" s="986" t="s">
        <v>713</v>
      </c>
      <c r="C436" s="957"/>
      <c r="D436" s="191" t="s">
        <v>524</v>
      </c>
      <c r="E436" s="192">
        <f>SUM(E437)</f>
        <v>0</v>
      </c>
      <c r="F436" s="192">
        <f>SUM(F437)</f>
        <v>0</v>
      </c>
      <c r="G436" s="255">
        <f t="shared" si="427"/>
        <v>0</v>
      </c>
      <c r="H436" s="195"/>
      <c r="I436" s="209"/>
      <c r="J436" s="209"/>
      <c r="K436" s="145">
        <f t="shared" si="321"/>
        <v>0</v>
      </c>
      <c r="L436" s="145">
        <f t="shared" si="324"/>
        <v>0</v>
      </c>
      <c r="M436" s="5"/>
      <c r="N436" s="5"/>
      <c r="O436" s="5"/>
      <c r="P436" s="5"/>
      <c r="Q436" s="139">
        <f t="shared" si="411"/>
        <v>0</v>
      </c>
    </row>
    <row r="437" spans="1:17" ht="42" hidden="1" customHeight="1">
      <c r="A437" s="189"/>
      <c r="B437" s="225"/>
      <c r="C437" s="190" t="s">
        <v>525</v>
      </c>
      <c r="D437" s="191" t="s">
        <v>526</v>
      </c>
      <c r="E437" s="192"/>
      <c r="F437" s="192"/>
      <c r="G437" s="255">
        <f t="shared" si="427"/>
        <v>0</v>
      </c>
      <c r="H437" s="195"/>
      <c r="I437" s="209"/>
      <c r="J437" s="209"/>
      <c r="K437" s="145">
        <f t="shared" si="321"/>
        <v>0</v>
      </c>
      <c r="L437" s="145">
        <f t="shared" si="324"/>
        <v>0</v>
      </c>
      <c r="M437" s="5"/>
      <c r="N437" s="5"/>
      <c r="O437" s="5"/>
      <c r="P437" s="5"/>
      <c r="Q437" s="139">
        <f t="shared" si="411"/>
        <v>0</v>
      </c>
    </row>
    <row r="438" spans="1:17" ht="30" hidden="1" customHeight="1">
      <c r="A438" s="189"/>
      <c r="B438" s="986" t="s">
        <v>534</v>
      </c>
      <c r="C438" s="957"/>
      <c r="D438" s="191" t="s">
        <v>535</v>
      </c>
      <c r="E438" s="192">
        <f>SUM(E439)</f>
        <v>0</v>
      </c>
      <c r="F438" s="192">
        <f>SUM(F439)</f>
        <v>0</v>
      </c>
      <c r="G438" s="255">
        <f t="shared" si="427"/>
        <v>0</v>
      </c>
      <c r="H438" s="195"/>
      <c r="I438" s="209"/>
      <c r="J438" s="209"/>
      <c r="K438" s="145">
        <f t="shared" si="321"/>
        <v>0</v>
      </c>
      <c r="L438" s="145">
        <f t="shared" si="324"/>
        <v>0</v>
      </c>
      <c r="M438" s="5"/>
      <c r="N438" s="5"/>
      <c r="O438" s="5"/>
      <c r="P438" s="5"/>
      <c r="Q438" s="139">
        <f t="shared" si="411"/>
        <v>0</v>
      </c>
    </row>
    <row r="439" spans="1:17" ht="30" hidden="1" customHeight="1">
      <c r="A439" s="189"/>
      <c r="B439" s="225"/>
      <c r="C439" s="190" t="s">
        <v>536</v>
      </c>
      <c r="D439" s="191" t="s">
        <v>537</v>
      </c>
      <c r="E439" s="192"/>
      <c r="F439" s="192"/>
      <c r="G439" s="255">
        <f t="shared" si="427"/>
        <v>0</v>
      </c>
      <c r="H439" s="195"/>
      <c r="I439" s="209"/>
      <c r="J439" s="209"/>
      <c r="K439" s="145">
        <f t="shared" si="321"/>
        <v>0</v>
      </c>
      <c r="L439" s="145">
        <f t="shared" si="324"/>
        <v>0</v>
      </c>
      <c r="M439" s="5"/>
      <c r="N439" s="5"/>
      <c r="O439" s="5"/>
      <c r="P439" s="5"/>
      <c r="Q439" s="139">
        <f t="shared" si="411"/>
        <v>0</v>
      </c>
    </row>
    <row r="440" spans="1:17" ht="45" hidden="1" customHeight="1">
      <c r="A440" s="189"/>
      <c r="B440" s="986" t="s">
        <v>544</v>
      </c>
      <c r="C440" s="957"/>
      <c r="D440" s="191" t="s">
        <v>545</v>
      </c>
      <c r="E440" s="238"/>
      <c r="F440" s="238"/>
      <c r="G440" s="255">
        <f t="shared" si="427"/>
        <v>0</v>
      </c>
      <c r="H440" s="195">
        <f>ROUND(F440*H$7,)</f>
        <v>0</v>
      </c>
      <c r="I440" s="209">
        <f>ROUND(H440*I$7,)</f>
        <v>0</v>
      </c>
      <c r="J440" s="209">
        <f>ROUND(I440*J$7,)</f>
        <v>0</v>
      </c>
      <c r="K440" s="145">
        <f t="shared" si="321"/>
        <v>0</v>
      </c>
      <c r="L440" s="145">
        <f t="shared" si="324"/>
        <v>0</v>
      </c>
      <c r="M440" s="5"/>
      <c r="N440" s="5"/>
      <c r="O440" s="5"/>
      <c r="P440" s="5"/>
      <c r="Q440" s="139">
        <f t="shared" si="411"/>
        <v>0</v>
      </c>
    </row>
    <row r="441" spans="1:17" ht="12.75" hidden="1" customHeight="1">
      <c r="A441" s="989" t="s">
        <v>714</v>
      </c>
      <c r="B441" s="948"/>
      <c r="C441" s="948"/>
      <c r="D441" s="97" t="s">
        <v>561</v>
      </c>
      <c r="E441" s="98">
        <f t="shared" ref="E441:F441" si="430">SUM(E442:E445)</f>
        <v>0</v>
      </c>
      <c r="F441" s="98">
        <f t="shared" si="430"/>
        <v>0</v>
      </c>
      <c r="G441" s="99">
        <f t="shared" ref="G441:J441" si="431">SUM(G442:G445)</f>
        <v>0</v>
      </c>
      <c r="H441" s="96">
        <f t="shared" si="431"/>
        <v>0</v>
      </c>
      <c r="I441" s="141">
        <f t="shared" si="431"/>
        <v>0</v>
      </c>
      <c r="J441" s="141">
        <f t="shared" si="431"/>
        <v>0</v>
      </c>
      <c r="K441" s="145">
        <f t="shared" si="321"/>
        <v>0</v>
      </c>
      <c r="L441" s="145">
        <f t="shared" si="324"/>
        <v>0</v>
      </c>
      <c r="M441" s="5"/>
      <c r="N441" s="5"/>
      <c r="O441" s="5"/>
      <c r="P441" s="5"/>
      <c r="Q441" s="139">
        <f t="shared" si="411"/>
        <v>0</v>
      </c>
    </row>
    <row r="442" spans="1:17" ht="30" hidden="1" customHeight="1">
      <c r="A442" s="189"/>
      <c r="B442" s="986" t="s">
        <v>562</v>
      </c>
      <c r="C442" s="957"/>
      <c r="D442" s="191" t="s">
        <v>563</v>
      </c>
      <c r="E442" s="218"/>
      <c r="F442" s="218"/>
      <c r="G442" s="255">
        <f>SUM(E442:F442)</f>
        <v>0</v>
      </c>
      <c r="H442" s="227">
        <f>ROUND(F442*H$7,)</f>
        <v>0</v>
      </c>
      <c r="I442" s="243">
        <f>ROUND(F442*I$7,)</f>
        <v>0</v>
      </c>
      <c r="J442" s="243">
        <f>ROUND(F442*J$7,)</f>
        <v>0</v>
      </c>
      <c r="K442" s="145">
        <f t="shared" si="321"/>
        <v>0</v>
      </c>
      <c r="L442" s="145">
        <f t="shared" si="324"/>
        <v>0</v>
      </c>
      <c r="M442" s="5"/>
      <c r="N442" s="5"/>
      <c r="O442" s="5"/>
      <c r="P442" s="5"/>
      <c r="Q442" s="139">
        <f t="shared" si="411"/>
        <v>0</v>
      </c>
    </row>
    <row r="443" spans="1:17" ht="38.25" hidden="1" customHeight="1">
      <c r="A443" s="257"/>
      <c r="B443" s="986" t="s">
        <v>564</v>
      </c>
      <c r="C443" s="957"/>
      <c r="D443" s="191" t="s">
        <v>565</v>
      </c>
      <c r="E443" s="192"/>
      <c r="F443" s="192"/>
      <c r="G443" s="255">
        <f>SUM(E443:F443)</f>
        <v>0</v>
      </c>
      <c r="H443" s="195">
        <f>ROUND(F443*H$7,)</f>
        <v>0</v>
      </c>
      <c r="I443" s="209">
        <f>ROUND(F443*I$7,)</f>
        <v>0</v>
      </c>
      <c r="J443" s="209">
        <f>ROUND(F443*J$7,)</f>
        <v>0</v>
      </c>
      <c r="K443" s="145">
        <f t="shared" si="321"/>
        <v>0</v>
      </c>
      <c r="L443" s="145">
        <f t="shared" si="324"/>
        <v>0</v>
      </c>
      <c r="M443" s="5"/>
      <c r="N443" s="5"/>
      <c r="O443" s="5"/>
      <c r="P443" s="5"/>
      <c r="Q443" s="139">
        <f t="shared" si="411"/>
        <v>0</v>
      </c>
    </row>
    <row r="444" spans="1:17" ht="30" hidden="1" customHeight="1">
      <c r="A444" s="257"/>
      <c r="B444" s="986" t="s">
        <v>715</v>
      </c>
      <c r="C444" s="957"/>
      <c r="D444" s="191" t="s">
        <v>567</v>
      </c>
      <c r="E444" s="192"/>
      <c r="F444" s="192"/>
      <c r="G444" s="255">
        <f>SUM(E444:F444)</f>
        <v>0</v>
      </c>
      <c r="H444" s="202">
        <f>ROUND(F444*H$7,)</f>
        <v>0</v>
      </c>
      <c r="I444" s="210">
        <f>ROUND(F444*I$7,)</f>
        <v>0</v>
      </c>
      <c r="J444" s="210">
        <f>ROUND(F444*J$7,)</f>
        <v>0</v>
      </c>
      <c r="K444" s="145">
        <f t="shared" si="321"/>
        <v>0</v>
      </c>
      <c r="L444" s="145">
        <f t="shared" si="324"/>
        <v>0</v>
      </c>
      <c r="M444" s="5"/>
      <c r="N444" s="5"/>
      <c r="O444" s="5"/>
      <c r="P444" s="5"/>
      <c r="Q444" s="139">
        <f t="shared" si="411"/>
        <v>0</v>
      </c>
    </row>
    <row r="445" spans="1:17" ht="28.5" hidden="1" customHeight="1">
      <c r="A445" s="257"/>
      <c r="B445" s="986" t="s">
        <v>568</v>
      </c>
      <c r="C445" s="957"/>
      <c r="D445" s="191" t="s">
        <v>569</v>
      </c>
      <c r="E445" s="192"/>
      <c r="F445" s="192"/>
      <c r="G445" s="255">
        <f>SUM(E445:F445)</f>
        <v>0</v>
      </c>
      <c r="H445" s="195">
        <f>ROUND(F445*H$7,)</f>
        <v>0</v>
      </c>
      <c r="I445" s="209">
        <f>ROUND(H445*I$7,)</f>
        <v>0</v>
      </c>
      <c r="J445" s="209">
        <f>ROUND(I445*J$7,)</f>
        <v>0</v>
      </c>
      <c r="K445" s="145">
        <f t="shared" si="321"/>
        <v>0</v>
      </c>
      <c r="L445" s="145">
        <f t="shared" si="324"/>
        <v>0</v>
      </c>
      <c r="M445" s="5"/>
      <c r="N445" s="5"/>
      <c r="O445" s="5"/>
      <c r="P445" s="5"/>
      <c r="Q445" s="139">
        <f t="shared" si="411"/>
        <v>0</v>
      </c>
    </row>
    <row r="446" spans="1:17" ht="12.75" customHeight="1">
      <c r="A446" s="987" t="s">
        <v>716</v>
      </c>
      <c r="B446" s="948"/>
      <c r="C446" s="948"/>
      <c r="D446" s="258" t="s">
        <v>717</v>
      </c>
      <c r="E446" s="259">
        <f>SUM(E448,E461,E473,E526,E468,E574,E576)</f>
        <v>257499.02000000002</v>
      </c>
      <c r="F446" s="259">
        <f>SUM(F448,F461,F473,F526,F468,F574,F576)</f>
        <v>0</v>
      </c>
      <c r="G446" s="260">
        <f>SUM(G448,G461,G473,G526,G468,G575,G576)</f>
        <v>257499.02000000002</v>
      </c>
      <c r="H446" s="261">
        <f>SUM(H448,H461,H473,H526,H468,H612)</f>
        <v>0</v>
      </c>
      <c r="I446" s="266">
        <f>SUM(I448,I461,I473,I526,I468,I612)</f>
        <v>0</v>
      </c>
      <c r="J446" s="266">
        <f>SUM(J448,J461,J473,J526,J468,J612)</f>
        <v>0</v>
      </c>
      <c r="K446" s="137">
        <f t="shared" si="321"/>
        <v>514998.04000000004</v>
      </c>
      <c r="L446" s="137">
        <f t="shared" si="324"/>
        <v>257499.02000000002</v>
      </c>
      <c r="M446" s="134">
        <f>G446-G617</f>
        <v>-13662</v>
      </c>
      <c r="N446" s="132"/>
      <c r="O446" s="132"/>
      <c r="P446" s="132"/>
      <c r="Q446" s="139">
        <f t="shared" si="411"/>
        <v>0</v>
      </c>
    </row>
    <row r="447" spans="1:17" ht="12.75" hidden="1" customHeight="1">
      <c r="A447" s="987" t="s">
        <v>718</v>
      </c>
      <c r="B447" s="948"/>
      <c r="C447" s="948"/>
      <c r="D447" s="258" t="s">
        <v>194</v>
      </c>
      <c r="E447" s="259">
        <f t="shared" ref="E447:F447" si="432">E448-E451-E458+E461</f>
        <v>0</v>
      </c>
      <c r="F447" s="259">
        <f t="shared" si="432"/>
        <v>0</v>
      </c>
      <c r="G447" s="262">
        <f t="shared" ref="G447:J447" si="433">G448-G451-G458+G461</f>
        <v>0</v>
      </c>
      <c r="H447" s="261">
        <f t="shared" si="433"/>
        <v>0</v>
      </c>
      <c r="I447" s="266">
        <f t="shared" si="433"/>
        <v>0</v>
      </c>
      <c r="J447" s="266">
        <f t="shared" si="433"/>
        <v>0</v>
      </c>
      <c r="K447" s="145">
        <f t="shared" si="321"/>
        <v>0</v>
      </c>
      <c r="L447" s="145">
        <f t="shared" si="324"/>
        <v>0</v>
      </c>
      <c r="M447" s="5"/>
      <c r="N447" s="5"/>
      <c r="O447" s="5"/>
      <c r="P447" s="5"/>
      <c r="Q447" s="139">
        <f t="shared" si="411"/>
        <v>0</v>
      </c>
    </row>
    <row r="448" spans="1:17" ht="12.75" customHeight="1">
      <c r="A448" s="987" t="s">
        <v>719</v>
      </c>
      <c r="B448" s="948"/>
      <c r="C448" s="948"/>
      <c r="D448" s="258" t="s">
        <v>196</v>
      </c>
      <c r="E448" s="259">
        <f t="shared" ref="E448:F448" si="434">SUM(E449,E453)</f>
        <v>32759.8</v>
      </c>
      <c r="F448" s="259">
        <f t="shared" si="434"/>
        <v>0</v>
      </c>
      <c r="G448" s="260">
        <f t="shared" ref="G448:J448" si="435">SUM(G449,G453)</f>
        <v>32759.8</v>
      </c>
      <c r="H448" s="261">
        <f t="shared" si="435"/>
        <v>0</v>
      </c>
      <c r="I448" s="266">
        <f t="shared" si="435"/>
        <v>0</v>
      </c>
      <c r="J448" s="266">
        <f t="shared" si="435"/>
        <v>0</v>
      </c>
      <c r="K448" s="137">
        <f t="shared" si="321"/>
        <v>65519.6</v>
      </c>
      <c r="L448" s="137">
        <f t="shared" si="324"/>
        <v>32759.8</v>
      </c>
      <c r="M448" s="132"/>
      <c r="N448" s="132"/>
      <c r="O448" s="132"/>
      <c r="P448" s="132"/>
      <c r="Q448" s="139">
        <f t="shared" si="411"/>
        <v>0</v>
      </c>
    </row>
    <row r="449" spans="1:17" ht="12.75" hidden="1" customHeight="1">
      <c r="A449" s="985" t="s">
        <v>720</v>
      </c>
      <c r="B449" s="948"/>
      <c r="C449" s="948"/>
      <c r="D449" s="263" t="s">
        <v>198</v>
      </c>
      <c r="E449" s="264">
        <f t="shared" ref="E449:F451" si="436">SUM(E450)</f>
        <v>0</v>
      </c>
      <c r="F449" s="264">
        <f t="shared" si="436"/>
        <v>0</v>
      </c>
      <c r="G449" s="262">
        <f t="shared" ref="G449:J451" si="437">SUM(G450)</f>
        <v>0</v>
      </c>
      <c r="H449" s="261">
        <f t="shared" si="437"/>
        <v>0</v>
      </c>
      <c r="I449" s="266">
        <f t="shared" si="437"/>
        <v>0</v>
      </c>
      <c r="J449" s="266">
        <f t="shared" si="437"/>
        <v>0</v>
      </c>
      <c r="K449" s="145">
        <f t="shared" si="321"/>
        <v>0</v>
      </c>
      <c r="L449" s="145">
        <f t="shared" si="324"/>
        <v>0</v>
      </c>
      <c r="M449" s="5"/>
      <c r="N449" s="5"/>
      <c r="O449" s="5"/>
      <c r="P449" s="5"/>
      <c r="Q449" s="139">
        <f t="shared" si="411"/>
        <v>0</v>
      </c>
    </row>
    <row r="450" spans="1:17" ht="12.75" hidden="1" customHeight="1">
      <c r="A450" s="985" t="s">
        <v>255</v>
      </c>
      <c r="B450" s="948"/>
      <c r="C450" s="948"/>
      <c r="D450" s="263" t="s">
        <v>256</v>
      </c>
      <c r="E450" s="264">
        <f t="shared" si="436"/>
        <v>0</v>
      </c>
      <c r="F450" s="264">
        <f t="shared" si="436"/>
        <v>0</v>
      </c>
      <c r="G450" s="262">
        <f t="shared" si="437"/>
        <v>0</v>
      </c>
      <c r="H450" s="261">
        <f t="shared" si="437"/>
        <v>0</v>
      </c>
      <c r="I450" s="266">
        <f t="shared" si="437"/>
        <v>0</v>
      </c>
      <c r="J450" s="266">
        <f t="shared" si="437"/>
        <v>0</v>
      </c>
      <c r="K450" s="145">
        <f t="shared" si="321"/>
        <v>0</v>
      </c>
      <c r="L450" s="145">
        <f t="shared" si="324"/>
        <v>0</v>
      </c>
      <c r="M450" s="5"/>
      <c r="N450" s="5"/>
      <c r="O450" s="5"/>
      <c r="P450" s="5"/>
      <c r="Q450" s="139">
        <f t="shared" si="411"/>
        <v>0</v>
      </c>
    </row>
    <row r="451" spans="1:17" ht="12.75" hidden="1" customHeight="1">
      <c r="A451" s="985" t="s">
        <v>44</v>
      </c>
      <c r="B451" s="948"/>
      <c r="C451" s="948"/>
      <c r="D451" s="263" t="s">
        <v>257</v>
      </c>
      <c r="E451" s="264">
        <f t="shared" si="436"/>
        <v>0</v>
      </c>
      <c r="F451" s="264">
        <f t="shared" si="436"/>
        <v>0</v>
      </c>
      <c r="G451" s="262">
        <f t="shared" si="437"/>
        <v>0</v>
      </c>
      <c r="H451" s="261">
        <f t="shared" si="437"/>
        <v>0</v>
      </c>
      <c r="I451" s="266">
        <f t="shared" si="437"/>
        <v>0</v>
      </c>
      <c r="J451" s="266">
        <f t="shared" si="437"/>
        <v>0</v>
      </c>
      <c r="K451" s="145">
        <f t="shared" si="321"/>
        <v>0</v>
      </c>
      <c r="L451" s="145">
        <f t="shared" si="324"/>
        <v>0</v>
      </c>
      <c r="M451" s="5"/>
      <c r="N451" s="5"/>
      <c r="O451" s="5"/>
      <c r="P451" s="5"/>
      <c r="Q451" s="139">
        <f t="shared" si="411"/>
        <v>0</v>
      </c>
    </row>
    <row r="452" spans="1:17" ht="38.25" hidden="1" customHeight="1">
      <c r="A452" s="214"/>
      <c r="B452" s="986" t="s">
        <v>284</v>
      </c>
      <c r="C452" s="957"/>
      <c r="D452" s="191" t="s">
        <v>285</v>
      </c>
      <c r="E452" s="192"/>
      <c r="F452" s="192"/>
      <c r="G452" s="255">
        <f>SUM(F452,E452)</f>
        <v>0</v>
      </c>
      <c r="H452" s="195"/>
      <c r="I452" s="209"/>
      <c r="J452" s="209"/>
      <c r="K452" s="145">
        <f t="shared" si="321"/>
        <v>0</v>
      </c>
      <c r="L452" s="145">
        <f t="shared" si="324"/>
        <v>0</v>
      </c>
      <c r="M452" s="5"/>
      <c r="N452" s="5"/>
      <c r="O452" s="5"/>
      <c r="P452" s="5"/>
      <c r="Q452" s="139">
        <f t="shared" si="411"/>
        <v>0</v>
      </c>
    </row>
    <row r="453" spans="1:17" ht="12.75" customHeight="1">
      <c r="A453" s="987" t="s">
        <v>721</v>
      </c>
      <c r="B453" s="948"/>
      <c r="C453" s="948"/>
      <c r="D453" s="258" t="s">
        <v>312</v>
      </c>
      <c r="E453" s="259">
        <f t="shared" ref="E453:F453" si="438">SUM(E454)</f>
        <v>32759.8</v>
      </c>
      <c r="F453" s="259">
        <f t="shared" si="438"/>
        <v>0</v>
      </c>
      <c r="G453" s="260">
        <f t="shared" ref="G453:J453" si="439">SUM(G454)</f>
        <v>32759.8</v>
      </c>
      <c r="H453" s="261">
        <f t="shared" si="439"/>
        <v>0</v>
      </c>
      <c r="I453" s="266">
        <f t="shared" si="439"/>
        <v>0</v>
      </c>
      <c r="J453" s="266">
        <f t="shared" si="439"/>
        <v>0</v>
      </c>
      <c r="K453" s="137">
        <f t="shared" si="321"/>
        <v>65519.6</v>
      </c>
      <c r="L453" s="137">
        <f t="shared" si="324"/>
        <v>32759.8</v>
      </c>
      <c r="M453" s="132"/>
      <c r="N453" s="132"/>
      <c r="O453" s="132"/>
      <c r="P453" s="132"/>
      <c r="Q453" s="139">
        <f t="shared" si="411"/>
        <v>0</v>
      </c>
    </row>
    <row r="454" spans="1:17" ht="12.75" customHeight="1">
      <c r="A454" s="987" t="s">
        <v>722</v>
      </c>
      <c r="B454" s="948"/>
      <c r="C454" s="948"/>
      <c r="D454" s="258" t="s">
        <v>336</v>
      </c>
      <c r="E454" s="259">
        <f t="shared" ref="E454:F454" si="440">SUM(E455,E458)</f>
        <v>32759.8</v>
      </c>
      <c r="F454" s="259">
        <f t="shared" si="440"/>
        <v>0</v>
      </c>
      <c r="G454" s="260">
        <f t="shared" ref="G454:J454" si="441">SUM(G455,G458)</f>
        <v>32759.8</v>
      </c>
      <c r="H454" s="261">
        <f t="shared" si="441"/>
        <v>0</v>
      </c>
      <c r="I454" s="266">
        <f t="shared" si="441"/>
        <v>0</v>
      </c>
      <c r="J454" s="266">
        <f t="shared" si="441"/>
        <v>0</v>
      </c>
      <c r="K454" s="137">
        <f t="shared" si="321"/>
        <v>65519.6</v>
      </c>
      <c r="L454" s="137">
        <f t="shared" si="324"/>
        <v>32759.8</v>
      </c>
      <c r="M454" s="132"/>
      <c r="N454" s="132"/>
      <c r="O454" s="132"/>
      <c r="P454" s="132"/>
      <c r="Q454" s="139">
        <f t="shared" si="411"/>
        <v>0</v>
      </c>
    </row>
    <row r="455" spans="1:17" ht="12.75" hidden="1" customHeight="1">
      <c r="A455" s="985" t="s">
        <v>706</v>
      </c>
      <c r="B455" s="948"/>
      <c r="C455" s="948"/>
      <c r="D455" s="267" t="s">
        <v>370</v>
      </c>
      <c r="E455" s="264">
        <f>SUM(E456:E457)</f>
        <v>0</v>
      </c>
      <c r="F455" s="264">
        <f>SUM(F456:F457)</f>
        <v>0</v>
      </c>
      <c r="G455" s="262">
        <f>SUM(G456:G457)</f>
        <v>0</v>
      </c>
      <c r="H455" s="261">
        <f>SUM(H456)</f>
        <v>0</v>
      </c>
      <c r="I455" s="266">
        <f>SUM(I456)</f>
        <v>0</v>
      </c>
      <c r="J455" s="266">
        <f>SUM(J456)</f>
        <v>0</v>
      </c>
      <c r="K455" s="145">
        <f t="shared" si="321"/>
        <v>0</v>
      </c>
      <c r="L455" s="145">
        <f t="shared" si="324"/>
        <v>0</v>
      </c>
      <c r="M455" s="5"/>
      <c r="N455" s="5"/>
      <c r="O455" s="5"/>
      <c r="P455" s="5"/>
      <c r="Q455" s="139">
        <f t="shared" si="411"/>
        <v>0</v>
      </c>
    </row>
    <row r="456" spans="1:17" ht="12.75" hidden="1" customHeight="1">
      <c r="A456" s="268"/>
      <c r="B456" s="986" t="s">
        <v>377</v>
      </c>
      <c r="C456" s="957"/>
      <c r="D456" s="191" t="s">
        <v>378</v>
      </c>
      <c r="E456" s="192"/>
      <c r="F456" s="192"/>
      <c r="G456" s="193">
        <f>SUM(F456,E456)</f>
        <v>0</v>
      </c>
      <c r="H456" s="195"/>
      <c r="I456" s="209"/>
      <c r="J456" s="209"/>
      <c r="K456" s="145">
        <f t="shared" si="321"/>
        <v>0</v>
      </c>
      <c r="L456" s="145">
        <f t="shared" si="324"/>
        <v>0</v>
      </c>
      <c r="M456" s="5"/>
      <c r="N456" s="5"/>
      <c r="O456" s="5"/>
      <c r="P456" s="5"/>
      <c r="Q456" s="139">
        <f t="shared" si="411"/>
        <v>0</v>
      </c>
    </row>
    <row r="457" spans="1:17" ht="27" hidden="1" customHeight="1">
      <c r="A457" s="214"/>
      <c r="B457" s="986" t="s">
        <v>381</v>
      </c>
      <c r="C457" s="957"/>
      <c r="D457" s="226" t="s">
        <v>382</v>
      </c>
      <c r="E457" s="238"/>
      <c r="F457" s="238"/>
      <c r="G457" s="193">
        <f>SUM(F457,E457)</f>
        <v>0</v>
      </c>
      <c r="H457" s="195"/>
      <c r="I457" s="209"/>
      <c r="J457" s="209"/>
      <c r="K457" s="145">
        <f t="shared" si="321"/>
        <v>0</v>
      </c>
      <c r="L457" s="145">
        <f t="shared" si="324"/>
        <v>0</v>
      </c>
      <c r="M457" s="5"/>
      <c r="N457" s="5"/>
      <c r="O457" s="5"/>
      <c r="P457" s="5"/>
      <c r="Q457" s="139">
        <f t="shared" si="411"/>
        <v>0</v>
      </c>
    </row>
    <row r="458" spans="1:17" ht="12.75" customHeight="1">
      <c r="A458" s="987" t="s">
        <v>385</v>
      </c>
      <c r="B458" s="948"/>
      <c r="C458" s="948"/>
      <c r="D458" s="258" t="s">
        <v>386</v>
      </c>
      <c r="E458" s="259">
        <f>SUM(E459:E460)</f>
        <v>32759.8</v>
      </c>
      <c r="F458" s="259">
        <f>SUM(F459:F460)</f>
        <v>0</v>
      </c>
      <c r="G458" s="260">
        <f>SUM(G459:J460)</f>
        <v>32759.8</v>
      </c>
      <c r="H458" s="261">
        <f t="shared" ref="H458:J458" si="442">SUM(H459)</f>
        <v>0</v>
      </c>
      <c r="I458" s="266">
        <f t="shared" si="442"/>
        <v>0</v>
      </c>
      <c r="J458" s="266">
        <f t="shared" si="442"/>
        <v>0</v>
      </c>
      <c r="K458" s="137">
        <f t="shared" si="321"/>
        <v>65519.6</v>
      </c>
      <c r="L458" s="137">
        <f t="shared" si="324"/>
        <v>32759.8</v>
      </c>
      <c r="M458" s="132"/>
      <c r="N458" s="132"/>
      <c r="O458" s="132"/>
      <c r="P458" s="132"/>
      <c r="Q458" s="139">
        <f t="shared" si="411"/>
        <v>0</v>
      </c>
    </row>
    <row r="459" spans="1:17" s="62" customFormat="1" ht="12.75" customHeight="1">
      <c r="A459" s="250" t="s">
        <v>391</v>
      </c>
      <c r="B459" s="269"/>
      <c r="C459" s="270"/>
      <c r="D459" s="251" t="s">
        <v>392</v>
      </c>
      <c r="E459" s="252">
        <v>32759.8</v>
      </c>
      <c r="F459" s="252"/>
      <c r="G459" s="253">
        <f>SUM(E459:F459)</f>
        <v>32759.8</v>
      </c>
      <c r="H459" s="271"/>
      <c r="I459" s="297"/>
      <c r="J459" s="297"/>
      <c r="K459" s="254">
        <f t="shared" si="321"/>
        <v>65519.6</v>
      </c>
      <c r="L459" s="254">
        <f t="shared" si="324"/>
        <v>32759.8</v>
      </c>
      <c r="Q459" s="139">
        <f t="shared" si="411"/>
        <v>0</v>
      </c>
    </row>
    <row r="460" spans="1:17" ht="12.75" hidden="1" customHeight="1">
      <c r="A460" s="272" t="s">
        <v>393</v>
      </c>
      <c r="B460" s="273"/>
      <c r="C460" s="273"/>
      <c r="D460" s="274" t="s">
        <v>394</v>
      </c>
      <c r="E460" s="275"/>
      <c r="F460" s="275"/>
      <c r="G460" s="201">
        <f>SUM(E460:F460)</f>
        <v>0</v>
      </c>
      <c r="H460" s="271"/>
      <c r="I460" s="297"/>
      <c r="J460" s="297"/>
      <c r="K460" s="137">
        <f t="shared" ref="K460" si="443">SUM(E460:G460)</f>
        <v>0</v>
      </c>
      <c r="L460" s="137">
        <f t="shared" si="324"/>
        <v>0</v>
      </c>
      <c r="M460" s="132"/>
      <c r="N460" s="132"/>
      <c r="O460" s="132"/>
      <c r="P460" s="132"/>
      <c r="Q460" s="139">
        <f t="shared" si="411"/>
        <v>0</v>
      </c>
    </row>
    <row r="461" spans="1:17" ht="12.75" hidden="1" customHeight="1">
      <c r="A461" s="987" t="s">
        <v>397</v>
      </c>
      <c r="B461" s="948"/>
      <c r="C461" s="948"/>
      <c r="D461" s="276" t="s">
        <v>398</v>
      </c>
      <c r="E461" s="259">
        <f t="shared" ref="E461:F461" si="444">SUM(E462)</f>
        <v>0</v>
      </c>
      <c r="F461" s="259">
        <f t="shared" si="444"/>
        <v>0</v>
      </c>
      <c r="G461" s="262">
        <f t="shared" ref="G461:J461" si="445">SUM(G462)</f>
        <v>0</v>
      </c>
      <c r="H461" s="261">
        <f t="shared" si="445"/>
        <v>0</v>
      </c>
      <c r="I461" s="266">
        <f t="shared" si="445"/>
        <v>0</v>
      </c>
      <c r="J461" s="266">
        <f t="shared" si="445"/>
        <v>0</v>
      </c>
      <c r="K461" s="145">
        <f t="shared" si="321"/>
        <v>0</v>
      </c>
      <c r="L461" s="145">
        <f t="shared" si="324"/>
        <v>0</v>
      </c>
      <c r="M461" s="5"/>
      <c r="N461" s="5"/>
      <c r="O461" s="5"/>
      <c r="P461" s="5"/>
      <c r="Q461" s="139">
        <f t="shared" si="411"/>
        <v>0</v>
      </c>
    </row>
    <row r="462" spans="1:17" ht="12.75" hidden="1" customHeight="1">
      <c r="A462" s="277"/>
      <c r="B462" s="982" t="s">
        <v>399</v>
      </c>
      <c r="C462" s="948"/>
      <c r="D462" s="278" t="s">
        <v>400</v>
      </c>
      <c r="E462" s="279">
        <f t="shared" ref="E462:F462" si="446">SUM(E463:E467)</f>
        <v>0</v>
      </c>
      <c r="F462" s="279">
        <f t="shared" si="446"/>
        <v>0</v>
      </c>
      <c r="G462" s="280">
        <f t="shared" ref="G462:J462" si="447">SUM(G463:G467)</f>
        <v>0</v>
      </c>
      <c r="H462" s="281">
        <f t="shared" si="447"/>
        <v>0</v>
      </c>
      <c r="I462" s="298">
        <f t="shared" si="447"/>
        <v>0</v>
      </c>
      <c r="J462" s="298">
        <f t="shared" si="447"/>
        <v>0</v>
      </c>
      <c r="K462" s="145">
        <f t="shared" si="321"/>
        <v>0</v>
      </c>
      <c r="L462" s="145">
        <f t="shared" si="324"/>
        <v>0</v>
      </c>
      <c r="M462" s="5"/>
      <c r="N462" s="5"/>
      <c r="O462" s="5"/>
      <c r="P462" s="5"/>
      <c r="Q462" s="139">
        <f t="shared" si="411"/>
        <v>0</v>
      </c>
    </row>
    <row r="463" spans="1:17" ht="12.75" hidden="1" customHeight="1">
      <c r="A463" s="214"/>
      <c r="B463" s="986" t="s">
        <v>401</v>
      </c>
      <c r="C463" s="957"/>
      <c r="D463" s="191" t="s">
        <v>402</v>
      </c>
      <c r="E463" s="238"/>
      <c r="F463" s="238"/>
      <c r="G463" s="255">
        <f>SUM(F463,E463)</f>
        <v>0</v>
      </c>
      <c r="H463" s="202"/>
      <c r="I463" s="210"/>
      <c r="J463" s="210"/>
      <c r="K463" s="145">
        <f t="shared" si="321"/>
        <v>0</v>
      </c>
      <c r="L463" s="145">
        <f t="shared" si="324"/>
        <v>0</v>
      </c>
      <c r="M463" s="5"/>
      <c r="N463" s="5"/>
      <c r="O463" s="5"/>
      <c r="P463" s="5"/>
      <c r="Q463" s="139">
        <f t="shared" si="411"/>
        <v>0</v>
      </c>
    </row>
    <row r="464" spans="1:17" ht="25.5" hidden="1" customHeight="1">
      <c r="A464" s="220"/>
      <c r="B464" s="988" t="s">
        <v>403</v>
      </c>
      <c r="C464" s="957"/>
      <c r="D464" s="247" t="s">
        <v>404</v>
      </c>
      <c r="E464" s="200"/>
      <c r="F464" s="200"/>
      <c r="G464" s="255">
        <f>SUM(F464,E464)</f>
        <v>0</v>
      </c>
      <c r="H464" s="195">
        <f>ROUND(F464*H$7,)</f>
        <v>0</v>
      </c>
      <c r="I464" s="209">
        <f>ROUND(F464*I$7,)</f>
        <v>0</v>
      </c>
      <c r="J464" s="209">
        <f>ROUND(F464*J$7,)</f>
        <v>0</v>
      </c>
      <c r="K464" s="145">
        <f t="shared" si="321"/>
        <v>0</v>
      </c>
      <c r="L464" s="145">
        <f t="shared" si="324"/>
        <v>0</v>
      </c>
      <c r="M464" s="5"/>
      <c r="N464" s="5"/>
      <c r="O464" s="5"/>
      <c r="P464" s="5"/>
      <c r="Q464" s="139">
        <f t="shared" si="411"/>
        <v>0</v>
      </c>
    </row>
    <row r="465" spans="1:17" ht="12.75" hidden="1" customHeight="1">
      <c r="A465" s="214"/>
      <c r="B465" s="986" t="s">
        <v>405</v>
      </c>
      <c r="C465" s="957"/>
      <c r="D465" s="191" t="s">
        <v>406</v>
      </c>
      <c r="E465" s="192"/>
      <c r="F465" s="192"/>
      <c r="G465" s="255">
        <f>SUM(F465,E465)</f>
        <v>0</v>
      </c>
      <c r="H465" s="202">
        <f>ROUND(F465*H$7,)</f>
        <v>0</v>
      </c>
      <c r="I465" s="210">
        <f>ROUND(F465*I$7,)</f>
        <v>0</v>
      </c>
      <c r="J465" s="210">
        <f>ROUND(F465*J$7,)</f>
        <v>0</v>
      </c>
      <c r="K465" s="145">
        <f t="shared" si="321"/>
        <v>0</v>
      </c>
      <c r="L465" s="145">
        <f t="shared" si="324"/>
        <v>0</v>
      </c>
      <c r="M465" s="5"/>
      <c r="N465" s="5"/>
      <c r="O465" s="5"/>
      <c r="P465" s="5"/>
      <c r="Q465" s="139">
        <f t="shared" ref="Q465:Q535" si="448">E465-G465</f>
        <v>0</v>
      </c>
    </row>
    <row r="466" spans="1:17" ht="27.75" hidden="1" customHeight="1">
      <c r="A466" s="214"/>
      <c r="B466" s="986" t="s">
        <v>407</v>
      </c>
      <c r="C466" s="957"/>
      <c r="D466" s="191" t="s">
        <v>408</v>
      </c>
      <c r="E466" s="192"/>
      <c r="F466" s="192"/>
      <c r="G466" s="255">
        <f>SUM(F466,E466)</f>
        <v>0</v>
      </c>
      <c r="H466" s="202">
        <f>ROUND(F466*H$7,)</f>
        <v>0</v>
      </c>
      <c r="I466" s="210">
        <f>ROUND(F466*I$7,)</f>
        <v>0</v>
      </c>
      <c r="J466" s="210">
        <f>ROUND(F466*J$7,)</f>
        <v>0</v>
      </c>
      <c r="K466" s="145">
        <f t="shared" si="321"/>
        <v>0</v>
      </c>
      <c r="L466" s="145">
        <f t="shared" si="324"/>
        <v>0</v>
      </c>
      <c r="M466" s="5"/>
      <c r="N466" s="5"/>
      <c r="O466" s="5"/>
      <c r="P466" s="5"/>
      <c r="Q466" s="139">
        <f t="shared" si="448"/>
        <v>0</v>
      </c>
    </row>
    <row r="467" spans="1:17" ht="12.75" hidden="1" customHeight="1">
      <c r="A467" s="214"/>
      <c r="B467" s="986" t="s">
        <v>409</v>
      </c>
      <c r="C467" s="957"/>
      <c r="D467" s="191" t="s">
        <v>410</v>
      </c>
      <c r="E467" s="192"/>
      <c r="F467" s="192"/>
      <c r="G467" s="255">
        <f>SUM(F467,E467)</f>
        <v>0</v>
      </c>
      <c r="H467" s="195"/>
      <c r="I467" s="209"/>
      <c r="J467" s="209"/>
      <c r="K467" s="145">
        <f t="shared" si="321"/>
        <v>0</v>
      </c>
      <c r="L467" s="145">
        <f t="shared" si="324"/>
        <v>0</v>
      </c>
      <c r="M467" s="5"/>
      <c r="N467" s="5"/>
      <c r="O467" s="5"/>
      <c r="P467" s="5"/>
      <c r="Q467" s="139">
        <f t="shared" si="448"/>
        <v>0</v>
      </c>
    </row>
    <row r="468" spans="1:17" ht="12.75" hidden="1" customHeight="1">
      <c r="A468" s="985" t="s">
        <v>411</v>
      </c>
      <c r="B468" s="948"/>
      <c r="C468" s="948"/>
      <c r="D468" s="267" t="s">
        <v>412</v>
      </c>
      <c r="E468" s="264">
        <f t="shared" ref="E468:F468" si="449">SUM(E469)</f>
        <v>0</v>
      </c>
      <c r="F468" s="264">
        <f t="shared" si="449"/>
        <v>0</v>
      </c>
      <c r="G468" s="262">
        <f t="shared" ref="G468:J468" si="450">SUM(G469)</f>
        <v>0</v>
      </c>
      <c r="H468" s="261">
        <f t="shared" si="450"/>
        <v>0</v>
      </c>
      <c r="I468" s="266">
        <f t="shared" si="450"/>
        <v>0</v>
      </c>
      <c r="J468" s="266">
        <f t="shared" si="450"/>
        <v>0</v>
      </c>
      <c r="K468" s="145">
        <f t="shared" si="321"/>
        <v>0</v>
      </c>
      <c r="L468" s="145">
        <f t="shared" si="324"/>
        <v>0</v>
      </c>
      <c r="M468" s="5"/>
      <c r="N468" s="5"/>
      <c r="O468" s="5"/>
      <c r="P468" s="5"/>
      <c r="Q468" s="139">
        <f t="shared" si="448"/>
        <v>0</v>
      </c>
    </row>
    <row r="469" spans="1:17" ht="26.25" hidden="1" customHeight="1">
      <c r="A469" s="985" t="s">
        <v>413</v>
      </c>
      <c r="B469" s="948"/>
      <c r="C469" s="948"/>
      <c r="D469" s="267" t="s">
        <v>414</v>
      </c>
      <c r="E469" s="264">
        <f t="shared" ref="E469:F469" si="451">SUM(E470:E472)</f>
        <v>0</v>
      </c>
      <c r="F469" s="264">
        <f t="shared" si="451"/>
        <v>0</v>
      </c>
      <c r="G469" s="262">
        <f t="shared" ref="G469:J469" si="452">SUM(G470:G472)</f>
        <v>0</v>
      </c>
      <c r="H469" s="261">
        <f t="shared" si="452"/>
        <v>0</v>
      </c>
      <c r="I469" s="266">
        <f t="shared" si="452"/>
        <v>0</v>
      </c>
      <c r="J469" s="266">
        <f t="shared" si="452"/>
        <v>0</v>
      </c>
      <c r="K469" s="145">
        <f t="shared" si="321"/>
        <v>0</v>
      </c>
      <c r="L469" s="145">
        <f t="shared" si="324"/>
        <v>0</v>
      </c>
      <c r="M469" s="5"/>
      <c r="N469" s="5"/>
      <c r="O469" s="5"/>
      <c r="P469" s="5"/>
      <c r="Q469" s="139">
        <f t="shared" si="448"/>
        <v>0</v>
      </c>
    </row>
    <row r="470" spans="1:17" ht="30" hidden="1" customHeight="1">
      <c r="A470" s="214"/>
      <c r="B470" s="986" t="s">
        <v>423</v>
      </c>
      <c r="C470" s="957"/>
      <c r="D470" s="191" t="s">
        <v>424</v>
      </c>
      <c r="E470" s="192"/>
      <c r="F470" s="192"/>
      <c r="G470" s="255">
        <f>SUM(F470,E470)</f>
        <v>0</v>
      </c>
      <c r="H470" s="195"/>
      <c r="I470" s="209"/>
      <c r="J470" s="209"/>
      <c r="K470" s="145">
        <f t="shared" si="321"/>
        <v>0</v>
      </c>
      <c r="L470" s="145">
        <f t="shared" si="324"/>
        <v>0</v>
      </c>
      <c r="M470" s="5"/>
      <c r="N470" s="5"/>
      <c r="O470" s="5"/>
      <c r="P470" s="5"/>
      <c r="Q470" s="139">
        <f t="shared" si="448"/>
        <v>0</v>
      </c>
    </row>
    <row r="471" spans="1:17" ht="29.25" hidden="1" customHeight="1">
      <c r="A471" s="214"/>
      <c r="B471" s="986" t="s">
        <v>425</v>
      </c>
      <c r="C471" s="957"/>
      <c r="D471" s="226" t="s">
        <v>426</v>
      </c>
      <c r="E471" s="192"/>
      <c r="F471" s="192"/>
      <c r="G471" s="255">
        <f>SUM(F471,E471)</f>
        <v>0</v>
      </c>
      <c r="H471" s="202"/>
      <c r="I471" s="210"/>
      <c r="J471" s="210"/>
      <c r="K471" s="145">
        <f t="shared" si="321"/>
        <v>0</v>
      </c>
      <c r="L471" s="145">
        <f t="shared" si="324"/>
        <v>0</v>
      </c>
      <c r="M471" s="5"/>
      <c r="N471" s="5"/>
      <c r="O471" s="5"/>
      <c r="P471" s="5"/>
      <c r="Q471" s="139">
        <f t="shared" si="448"/>
        <v>0</v>
      </c>
    </row>
    <row r="472" spans="1:17" ht="30" hidden="1" customHeight="1">
      <c r="A472" s="214"/>
      <c r="B472" s="986" t="s">
        <v>427</v>
      </c>
      <c r="C472" s="957"/>
      <c r="D472" s="191" t="s">
        <v>428</v>
      </c>
      <c r="E472" s="192"/>
      <c r="F472" s="192"/>
      <c r="G472" s="255">
        <f>SUM(F472,E472)</f>
        <v>0</v>
      </c>
      <c r="H472" s="202"/>
      <c r="I472" s="210"/>
      <c r="J472" s="210"/>
      <c r="K472" s="145">
        <f t="shared" si="321"/>
        <v>0</v>
      </c>
      <c r="L472" s="145">
        <f t="shared" si="324"/>
        <v>0</v>
      </c>
      <c r="M472" s="5"/>
      <c r="N472" s="5"/>
      <c r="O472" s="5"/>
      <c r="P472" s="5"/>
      <c r="Q472" s="139">
        <f t="shared" si="448"/>
        <v>0</v>
      </c>
    </row>
    <row r="473" spans="1:17" ht="12.75" customHeight="1">
      <c r="A473" s="987" t="s">
        <v>431</v>
      </c>
      <c r="B473" s="948"/>
      <c r="C473" s="948"/>
      <c r="D473" s="258" t="s">
        <v>432</v>
      </c>
      <c r="E473" s="259">
        <f>SUM(E474)</f>
        <v>114508.67</v>
      </c>
      <c r="F473" s="259">
        <f>SUM(F474)</f>
        <v>0</v>
      </c>
      <c r="G473" s="260">
        <f t="shared" ref="G473:J475" si="453">SUM(G474)</f>
        <v>114508.67</v>
      </c>
      <c r="H473" s="261">
        <f t="shared" si="453"/>
        <v>0</v>
      </c>
      <c r="I473" s="266">
        <f t="shared" si="453"/>
        <v>0</v>
      </c>
      <c r="J473" s="266">
        <f t="shared" si="453"/>
        <v>0</v>
      </c>
      <c r="K473" s="137">
        <f t="shared" si="321"/>
        <v>229017.34</v>
      </c>
      <c r="L473" s="137">
        <f t="shared" si="324"/>
        <v>114508.67</v>
      </c>
      <c r="M473" s="132"/>
      <c r="N473" s="132"/>
      <c r="O473" s="132"/>
      <c r="P473" s="132"/>
      <c r="Q473" s="139">
        <f t="shared" si="448"/>
        <v>0</v>
      </c>
    </row>
    <row r="474" spans="1:17" ht="26.25" customHeight="1">
      <c r="A474" s="987" t="s">
        <v>433</v>
      </c>
      <c r="B474" s="948"/>
      <c r="C474" s="948"/>
      <c r="D474" s="258" t="s">
        <v>434</v>
      </c>
      <c r="E474" s="259">
        <f t="shared" ref="E474:F474" si="454">SUM(E475,E519)</f>
        <v>114508.67</v>
      </c>
      <c r="F474" s="259">
        <f t="shared" si="454"/>
        <v>0</v>
      </c>
      <c r="G474" s="260">
        <f t="shared" ref="G474" si="455">SUM(G475,G519)</f>
        <v>114508.67</v>
      </c>
      <c r="H474" s="261">
        <f t="shared" si="453"/>
        <v>0</v>
      </c>
      <c r="I474" s="266">
        <f t="shared" si="453"/>
        <v>0</v>
      </c>
      <c r="J474" s="266">
        <f t="shared" si="453"/>
        <v>0</v>
      </c>
      <c r="K474" s="137">
        <f t="shared" si="321"/>
        <v>229017.34</v>
      </c>
      <c r="L474" s="137">
        <f t="shared" si="324"/>
        <v>114508.67</v>
      </c>
      <c r="M474" s="132"/>
      <c r="N474" s="132"/>
      <c r="O474" s="132"/>
      <c r="P474" s="132"/>
      <c r="Q474" s="139">
        <f t="shared" si="448"/>
        <v>0</v>
      </c>
    </row>
    <row r="475" spans="1:17" ht="12.75" customHeight="1">
      <c r="A475" s="987" t="s">
        <v>435</v>
      </c>
      <c r="B475" s="948"/>
      <c r="C475" s="948"/>
      <c r="D475" s="258" t="s">
        <v>436</v>
      </c>
      <c r="E475" s="259">
        <f t="shared" ref="E475:F475" si="456">SUM(E476)</f>
        <v>99306.97</v>
      </c>
      <c r="F475" s="259">
        <f t="shared" si="456"/>
        <v>0</v>
      </c>
      <c r="G475" s="260">
        <f t="shared" si="453"/>
        <v>99306.97</v>
      </c>
      <c r="H475" s="261">
        <f t="shared" si="453"/>
        <v>0</v>
      </c>
      <c r="I475" s="266">
        <f t="shared" si="453"/>
        <v>0</v>
      </c>
      <c r="J475" s="266">
        <f t="shared" si="453"/>
        <v>0</v>
      </c>
      <c r="K475" s="137">
        <f t="shared" si="321"/>
        <v>198613.94</v>
      </c>
      <c r="L475" s="137">
        <f t="shared" si="324"/>
        <v>99306.97</v>
      </c>
      <c r="M475" s="132"/>
      <c r="N475" s="132"/>
      <c r="O475" s="132"/>
      <c r="P475" s="132"/>
      <c r="Q475" s="139">
        <f t="shared" si="448"/>
        <v>0</v>
      </c>
    </row>
    <row r="476" spans="1:17" ht="12.75" customHeight="1">
      <c r="A476" s="987" t="s">
        <v>437</v>
      </c>
      <c r="B476" s="948"/>
      <c r="C476" s="948"/>
      <c r="D476" s="258" t="s">
        <v>438</v>
      </c>
      <c r="E476" s="259">
        <f t="shared" ref="E476:F476" si="457">SUM(E477:E483,E487:E492,E496:E497,E501:E502,E510:E513,E504:E508,E517)</f>
        <v>99306.97</v>
      </c>
      <c r="F476" s="259">
        <f t="shared" si="457"/>
        <v>0</v>
      </c>
      <c r="G476" s="260">
        <f t="shared" ref="G476" si="458">SUM(G477:G483,G487:G492,G496:G497,G501:G502,G510:G513,G504:G508,G517)</f>
        <v>99306.97</v>
      </c>
      <c r="H476" s="261">
        <f>SUM(H477:H483,H487:H492,H496:H497,H501:H508,H510)</f>
        <v>0</v>
      </c>
      <c r="I476" s="266">
        <f>SUM(I477:I483,I487:I492,I496:I497,I501:I508,I510)</f>
        <v>0</v>
      </c>
      <c r="J476" s="266">
        <f>SUM(J477:J483,J487:J492,J496:J497,J501:J508,J510)</f>
        <v>0</v>
      </c>
      <c r="K476" s="137">
        <f t="shared" si="321"/>
        <v>198613.94</v>
      </c>
      <c r="L476" s="137">
        <f t="shared" si="324"/>
        <v>99306.97</v>
      </c>
      <c r="M476" s="132"/>
      <c r="N476" s="132"/>
      <c r="O476" s="132"/>
      <c r="P476" s="132"/>
      <c r="Q476" s="139">
        <f t="shared" si="448"/>
        <v>0</v>
      </c>
    </row>
    <row r="477" spans="1:17" ht="12.75" hidden="1" customHeight="1">
      <c r="A477" s="189"/>
      <c r="B477" s="215" t="s">
        <v>439</v>
      </c>
      <c r="C477" s="216"/>
      <c r="D477" s="217" t="s">
        <v>440</v>
      </c>
      <c r="E477" s="218"/>
      <c r="F477" s="218"/>
      <c r="G477" s="255">
        <f t="shared" ref="G477:G482" si="459">SUM(F477,E477)</f>
        <v>0</v>
      </c>
      <c r="H477" s="219"/>
      <c r="I477" s="241"/>
      <c r="J477" s="241"/>
      <c r="K477" s="145">
        <f t="shared" si="321"/>
        <v>0</v>
      </c>
      <c r="L477" s="145">
        <f t="shared" si="324"/>
        <v>0</v>
      </c>
      <c r="M477" s="5"/>
      <c r="N477" s="5"/>
      <c r="O477" s="5"/>
      <c r="P477" s="5"/>
      <c r="Q477" s="139">
        <f t="shared" si="448"/>
        <v>0</v>
      </c>
    </row>
    <row r="478" spans="1:17" ht="12.75" hidden="1" customHeight="1">
      <c r="A478" s="189"/>
      <c r="B478" s="215" t="s">
        <v>441</v>
      </c>
      <c r="C478" s="216"/>
      <c r="D478" s="217" t="s">
        <v>442</v>
      </c>
      <c r="E478" s="218"/>
      <c r="F478" s="218"/>
      <c r="G478" s="255">
        <f t="shared" si="459"/>
        <v>0</v>
      </c>
      <c r="H478" s="219"/>
      <c r="I478" s="241"/>
      <c r="J478" s="241"/>
      <c r="K478" s="145">
        <f t="shared" si="321"/>
        <v>0</v>
      </c>
      <c r="L478" s="145">
        <f t="shared" si="324"/>
        <v>0</v>
      </c>
      <c r="M478" s="5"/>
      <c r="N478" s="5"/>
      <c r="O478" s="5"/>
      <c r="P478" s="5"/>
      <c r="Q478" s="139">
        <f t="shared" si="448"/>
        <v>0</v>
      </c>
    </row>
    <row r="479" spans="1:17" ht="12.75" hidden="1" customHeight="1">
      <c r="A479" s="189"/>
      <c r="B479" s="215" t="s">
        <v>443</v>
      </c>
      <c r="C479" s="216"/>
      <c r="D479" s="217" t="s">
        <v>444</v>
      </c>
      <c r="E479" s="218"/>
      <c r="F479" s="218"/>
      <c r="G479" s="255">
        <f t="shared" si="459"/>
        <v>0</v>
      </c>
      <c r="H479" s="219"/>
      <c r="I479" s="241"/>
      <c r="J479" s="241"/>
      <c r="K479" s="145">
        <f t="shared" si="321"/>
        <v>0</v>
      </c>
      <c r="L479" s="145">
        <f t="shared" si="324"/>
        <v>0</v>
      </c>
      <c r="M479" s="5"/>
      <c r="N479" s="5"/>
      <c r="O479" s="5"/>
      <c r="P479" s="5"/>
      <c r="Q479" s="139">
        <f t="shared" si="448"/>
        <v>0</v>
      </c>
    </row>
    <row r="480" spans="1:17" ht="12.75" hidden="1" customHeight="1">
      <c r="A480" s="189"/>
      <c r="B480" s="215" t="s">
        <v>445</v>
      </c>
      <c r="C480" s="216"/>
      <c r="D480" s="217" t="s">
        <v>446</v>
      </c>
      <c r="E480" s="218"/>
      <c r="F480" s="218"/>
      <c r="G480" s="255">
        <f t="shared" si="459"/>
        <v>0</v>
      </c>
      <c r="H480" s="219"/>
      <c r="I480" s="241"/>
      <c r="J480" s="241"/>
      <c r="K480" s="145">
        <f t="shared" si="321"/>
        <v>0</v>
      </c>
      <c r="L480" s="145">
        <f t="shared" si="324"/>
        <v>0</v>
      </c>
      <c r="M480" s="5"/>
      <c r="N480" s="5"/>
      <c r="O480" s="5"/>
      <c r="P480" s="5"/>
      <c r="Q480" s="139">
        <f t="shared" si="448"/>
        <v>0</v>
      </c>
    </row>
    <row r="481" spans="1:17" ht="12.75" hidden="1" customHeight="1">
      <c r="A481" s="189"/>
      <c r="B481" s="986" t="s">
        <v>447</v>
      </c>
      <c r="C481" s="957"/>
      <c r="D481" s="191" t="s">
        <v>448</v>
      </c>
      <c r="E481" s="192"/>
      <c r="F481" s="192"/>
      <c r="G481" s="255">
        <f t="shared" si="459"/>
        <v>0</v>
      </c>
      <c r="H481" s="195"/>
      <c r="I481" s="209"/>
      <c r="J481" s="209"/>
      <c r="K481" s="145">
        <f t="shared" si="321"/>
        <v>0</v>
      </c>
      <c r="L481" s="145">
        <f t="shared" si="324"/>
        <v>0</v>
      </c>
      <c r="M481" s="5"/>
      <c r="N481" s="5"/>
      <c r="O481" s="5"/>
      <c r="P481" s="5"/>
      <c r="Q481" s="139">
        <f t="shared" si="448"/>
        <v>0</v>
      </c>
    </row>
    <row r="482" spans="1:17" ht="12.75" hidden="1" customHeight="1">
      <c r="A482" s="189"/>
      <c r="B482" s="986" t="s">
        <v>449</v>
      </c>
      <c r="C482" s="957"/>
      <c r="D482" s="191" t="s">
        <v>450</v>
      </c>
      <c r="E482" s="192"/>
      <c r="F482" s="192"/>
      <c r="G482" s="255">
        <f t="shared" si="459"/>
        <v>0</v>
      </c>
      <c r="H482" s="195"/>
      <c r="I482" s="209"/>
      <c r="J482" s="209"/>
      <c r="K482" s="145">
        <f t="shared" si="321"/>
        <v>0</v>
      </c>
      <c r="L482" s="145">
        <f t="shared" si="324"/>
        <v>0</v>
      </c>
      <c r="M482" s="5"/>
      <c r="N482" s="5"/>
      <c r="O482" s="5"/>
      <c r="P482" s="5"/>
      <c r="Q482" s="139">
        <f t="shared" si="448"/>
        <v>0</v>
      </c>
    </row>
    <row r="483" spans="1:17" ht="12.75" hidden="1" customHeight="1">
      <c r="A483" s="282"/>
      <c r="B483" s="983" t="s">
        <v>723</v>
      </c>
      <c r="C483" s="948"/>
      <c r="D483" s="283" t="s">
        <v>452</v>
      </c>
      <c r="E483" s="284">
        <f t="shared" ref="E483:F483" si="460">SUM(E484:E486)</f>
        <v>0</v>
      </c>
      <c r="F483" s="284">
        <f t="shared" si="460"/>
        <v>0</v>
      </c>
      <c r="G483" s="280">
        <f t="shared" ref="G483:J483" si="461">SUM(G484:G486)</f>
        <v>0</v>
      </c>
      <c r="H483" s="281">
        <f t="shared" si="461"/>
        <v>0</v>
      </c>
      <c r="I483" s="298">
        <f t="shared" si="461"/>
        <v>0</v>
      </c>
      <c r="J483" s="298">
        <f t="shared" si="461"/>
        <v>0</v>
      </c>
      <c r="K483" s="145">
        <f t="shared" si="321"/>
        <v>0</v>
      </c>
      <c r="L483" s="145">
        <f t="shared" si="324"/>
        <v>0</v>
      </c>
      <c r="M483" s="5"/>
      <c r="N483" s="5"/>
      <c r="O483" s="5"/>
      <c r="P483" s="5"/>
      <c r="Q483" s="139">
        <f t="shared" si="448"/>
        <v>0</v>
      </c>
    </row>
    <row r="484" spans="1:17" ht="38.25" hidden="1" customHeight="1">
      <c r="A484" s="189"/>
      <c r="B484" s="215"/>
      <c r="C484" s="190" t="s">
        <v>453</v>
      </c>
      <c r="D484" s="191" t="s">
        <v>454</v>
      </c>
      <c r="E484" s="192"/>
      <c r="F484" s="192"/>
      <c r="G484" s="255">
        <f t="shared" ref="G484:G491" si="462">SUM(F484,E484)</f>
        <v>0</v>
      </c>
      <c r="H484" s="195"/>
      <c r="I484" s="209"/>
      <c r="J484" s="209"/>
      <c r="K484" s="145">
        <f t="shared" si="321"/>
        <v>0</v>
      </c>
      <c r="L484" s="145">
        <f t="shared" si="324"/>
        <v>0</v>
      </c>
      <c r="M484" s="5"/>
      <c r="N484" s="5"/>
      <c r="O484" s="5"/>
      <c r="P484" s="5"/>
      <c r="Q484" s="139">
        <f t="shared" si="448"/>
        <v>0</v>
      </c>
    </row>
    <row r="485" spans="1:17" ht="25.5" hidden="1" customHeight="1">
      <c r="A485" s="189"/>
      <c r="B485" s="215"/>
      <c r="C485" s="285" t="s">
        <v>455</v>
      </c>
      <c r="D485" s="286" t="s">
        <v>456</v>
      </c>
      <c r="E485" s="192"/>
      <c r="F485" s="192"/>
      <c r="G485" s="255">
        <f t="shared" si="462"/>
        <v>0</v>
      </c>
      <c r="H485" s="195"/>
      <c r="I485" s="209"/>
      <c r="J485" s="209"/>
      <c r="K485" s="145">
        <f t="shared" si="321"/>
        <v>0</v>
      </c>
      <c r="L485" s="145">
        <f t="shared" si="324"/>
        <v>0</v>
      </c>
      <c r="M485" s="5"/>
      <c r="N485" s="5"/>
      <c r="O485" s="5"/>
      <c r="P485" s="5"/>
      <c r="Q485" s="139">
        <f t="shared" si="448"/>
        <v>0</v>
      </c>
    </row>
    <row r="486" spans="1:17" ht="25.5" hidden="1" customHeight="1">
      <c r="A486" s="189"/>
      <c r="B486" s="215"/>
      <c r="C486" s="285" t="s">
        <v>457</v>
      </c>
      <c r="D486" s="286" t="s">
        <v>458</v>
      </c>
      <c r="E486" s="192"/>
      <c r="F486" s="192"/>
      <c r="G486" s="255">
        <f t="shared" si="462"/>
        <v>0</v>
      </c>
      <c r="H486" s="195"/>
      <c r="I486" s="209"/>
      <c r="J486" s="209"/>
      <c r="K486" s="145">
        <f t="shared" si="321"/>
        <v>0</v>
      </c>
      <c r="L486" s="145">
        <f t="shared" si="324"/>
        <v>0</v>
      </c>
      <c r="M486" s="5"/>
      <c r="N486" s="5"/>
      <c r="O486" s="5"/>
      <c r="P486" s="5"/>
      <c r="Q486" s="139">
        <f t="shared" si="448"/>
        <v>0</v>
      </c>
    </row>
    <row r="487" spans="1:17" ht="30" hidden="1" customHeight="1">
      <c r="A487" s="189"/>
      <c r="B487" s="986" t="s">
        <v>459</v>
      </c>
      <c r="C487" s="957"/>
      <c r="D487" s="191" t="s">
        <v>460</v>
      </c>
      <c r="E487" s="192"/>
      <c r="F487" s="192"/>
      <c r="G487" s="255">
        <f t="shared" si="462"/>
        <v>0</v>
      </c>
      <c r="H487" s="195"/>
      <c r="I487" s="209"/>
      <c r="J487" s="209"/>
      <c r="K487" s="145">
        <f t="shared" si="321"/>
        <v>0</v>
      </c>
      <c r="L487" s="145">
        <f t="shared" si="324"/>
        <v>0</v>
      </c>
      <c r="M487" s="5"/>
      <c r="N487" s="5"/>
      <c r="O487" s="5"/>
      <c r="P487" s="5"/>
      <c r="Q487" s="139">
        <f t="shared" si="448"/>
        <v>0</v>
      </c>
    </row>
    <row r="488" spans="1:17" ht="12.75" hidden="1" customHeight="1">
      <c r="A488" s="189"/>
      <c r="B488" s="986" t="s">
        <v>461</v>
      </c>
      <c r="C488" s="957"/>
      <c r="D488" s="191" t="s">
        <v>462</v>
      </c>
      <c r="E488" s="192"/>
      <c r="F488" s="192"/>
      <c r="G488" s="255">
        <f t="shared" si="462"/>
        <v>0</v>
      </c>
      <c r="H488" s="195"/>
      <c r="I488" s="209"/>
      <c r="J488" s="209"/>
      <c r="K488" s="145">
        <f t="shared" si="321"/>
        <v>0</v>
      </c>
      <c r="L488" s="145">
        <f t="shared" si="324"/>
        <v>0</v>
      </c>
      <c r="M488" s="5"/>
      <c r="N488" s="5"/>
      <c r="O488" s="5"/>
      <c r="P488" s="5"/>
      <c r="Q488" s="139">
        <f t="shared" si="448"/>
        <v>0</v>
      </c>
    </row>
    <row r="489" spans="1:17" ht="30" customHeight="1">
      <c r="A489" s="197"/>
      <c r="B489" s="988" t="s">
        <v>463</v>
      </c>
      <c r="C489" s="957"/>
      <c r="D489" s="199" t="s">
        <v>464</v>
      </c>
      <c r="E489" s="200">
        <v>23183</v>
      </c>
      <c r="F489" s="200"/>
      <c r="G489" s="256">
        <f t="shared" si="462"/>
        <v>23183</v>
      </c>
      <c r="H489" s="227"/>
      <c r="I489" s="243"/>
      <c r="J489" s="243"/>
      <c r="K489" s="137">
        <f t="shared" si="321"/>
        <v>46366</v>
      </c>
      <c r="L489" s="137">
        <f t="shared" si="324"/>
        <v>23183</v>
      </c>
      <c r="M489" s="132"/>
      <c r="N489" s="132"/>
      <c r="O489" s="132"/>
      <c r="P489" s="132"/>
      <c r="Q489" s="139">
        <f t="shared" si="448"/>
        <v>0</v>
      </c>
    </row>
    <row r="490" spans="1:17" ht="30" hidden="1" customHeight="1">
      <c r="A490" s="189"/>
      <c r="B490" s="986" t="s">
        <v>465</v>
      </c>
      <c r="C490" s="957"/>
      <c r="D490" s="191" t="s">
        <v>466</v>
      </c>
      <c r="E490" s="192"/>
      <c r="F490" s="192"/>
      <c r="G490" s="255">
        <f t="shared" si="462"/>
        <v>0</v>
      </c>
      <c r="H490" s="195"/>
      <c r="I490" s="209"/>
      <c r="J490" s="209"/>
      <c r="K490" s="145">
        <f t="shared" si="321"/>
        <v>0</v>
      </c>
      <c r="L490" s="145">
        <f t="shared" si="324"/>
        <v>0</v>
      </c>
      <c r="M490" s="5"/>
      <c r="N490" s="5"/>
      <c r="O490" s="5"/>
      <c r="P490" s="5"/>
      <c r="Q490" s="139">
        <f t="shared" si="448"/>
        <v>0</v>
      </c>
    </row>
    <row r="491" spans="1:17" ht="12.75" hidden="1" customHeight="1">
      <c r="A491" s="189"/>
      <c r="B491" s="986" t="s">
        <v>467</v>
      </c>
      <c r="C491" s="957"/>
      <c r="D491" s="191" t="s">
        <v>468</v>
      </c>
      <c r="E491" s="192"/>
      <c r="F491" s="192"/>
      <c r="G491" s="255">
        <f t="shared" si="462"/>
        <v>0</v>
      </c>
      <c r="H491" s="195"/>
      <c r="I491" s="209"/>
      <c r="J491" s="209"/>
      <c r="K491" s="145">
        <f t="shared" si="321"/>
        <v>0</v>
      </c>
      <c r="L491" s="145">
        <f t="shared" si="324"/>
        <v>0</v>
      </c>
      <c r="M491" s="5"/>
      <c r="N491" s="5"/>
      <c r="O491" s="5"/>
      <c r="P491" s="5"/>
      <c r="Q491" s="139">
        <f t="shared" si="448"/>
        <v>0</v>
      </c>
    </row>
    <row r="492" spans="1:17" ht="49.5" hidden="1" customHeight="1">
      <c r="A492" s="287"/>
      <c r="B492" s="982" t="s">
        <v>724</v>
      </c>
      <c r="C492" s="948"/>
      <c r="D492" s="278" t="s">
        <v>470</v>
      </c>
      <c r="E492" s="279">
        <f t="shared" ref="E492:F492" si="463">SUM(E493:E495)</f>
        <v>0</v>
      </c>
      <c r="F492" s="279">
        <f t="shared" si="463"/>
        <v>0</v>
      </c>
      <c r="G492" s="288">
        <f t="shared" ref="G492" si="464">SUM(G493:G495)</f>
        <v>0</v>
      </c>
      <c r="H492" s="281">
        <f t="shared" ref="H492:J492" si="465">SUM(H493:H495)</f>
        <v>0</v>
      </c>
      <c r="I492" s="298">
        <f t="shared" si="465"/>
        <v>0</v>
      </c>
      <c r="J492" s="298">
        <f t="shared" si="465"/>
        <v>0</v>
      </c>
      <c r="K492" s="137">
        <f t="shared" si="321"/>
        <v>0</v>
      </c>
      <c r="L492" s="137">
        <f t="shared" si="324"/>
        <v>0</v>
      </c>
      <c r="M492" s="132"/>
      <c r="N492" s="132"/>
      <c r="O492" s="132"/>
      <c r="P492" s="132"/>
      <c r="Q492" s="139">
        <f t="shared" si="448"/>
        <v>0</v>
      </c>
    </row>
    <row r="493" spans="1:17" ht="50.25" hidden="1" customHeight="1">
      <c r="A493" s="197"/>
      <c r="B493" s="221"/>
      <c r="C493" s="236" t="s">
        <v>471</v>
      </c>
      <c r="D493" s="289" t="s">
        <v>472</v>
      </c>
      <c r="E493" s="200"/>
      <c r="F493" s="200"/>
      <c r="G493" s="256">
        <f>SUM(F493,E493)</f>
        <v>0</v>
      </c>
      <c r="H493" s="195"/>
      <c r="I493" s="209"/>
      <c r="J493" s="209"/>
      <c r="K493" s="137">
        <f t="shared" si="321"/>
        <v>0</v>
      </c>
      <c r="L493" s="137">
        <f t="shared" si="324"/>
        <v>0</v>
      </c>
      <c r="M493" s="132"/>
      <c r="N493" s="132"/>
      <c r="O493" s="132"/>
      <c r="P493" s="132"/>
      <c r="Q493" s="139">
        <f t="shared" si="448"/>
        <v>0</v>
      </c>
    </row>
    <row r="494" spans="1:17" ht="25.5" hidden="1" customHeight="1">
      <c r="A494" s="197"/>
      <c r="B494" s="221"/>
      <c r="C494" s="236" t="s">
        <v>473</v>
      </c>
      <c r="D494" s="289" t="s">
        <v>474</v>
      </c>
      <c r="E494" s="200"/>
      <c r="F494" s="200"/>
      <c r="G494" s="256">
        <f>SUM(F494,E494)</f>
        <v>0</v>
      </c>
      <c r="H494" s="195"/>
      <c r="I494" s="209"/>
      <c r="J494" s="209"/>
      <c r="K494" s="137">
        <f t="shared" si="321"/>
        <v>0</v>
      </c>
      <c r="L494" s="137">
        <f t="shared" si="324"/>
        <v>0</v>
      </c>
      <c r="M494" s="132"/>
      <c r="N494" s="132"/>
      <c r="O494" s="132"/>
      <c r="P494" s="132"/>
      <c r="Q494" s="139">
        <f t="shared" si="448"/>
        <v>0</v>
      </c>
    </row>
    <row r="495" spans="1:17" ht="25.5" hidden="1" customHeight="1">
      <c r="A495" s="189"/>
      <c r="B495" s="225"/>
      <c r="C495" s="285" t="s">
        <v>475</v>
      </c>
      <c r="D495" s="286" t="s">
        <v>476</v>
      </c>
      <c r="E495" s="200"/>
      <c r="F495" s="200"/>
      <c r="G495" s="255">
        <f>SUM(F495,E495)</f>
        <v>0</v>
      </c>
      <c r="H495" s="195"/>
      <c r="I495" s="209"/>
      <c r="J495" s="209"/>
      <c r="K495" s="145">
        <f t="shared" si="321"/>
        <v>0</v>
      </c>
      <c r="L495" s="145">
        <f t="shared" si="324"/>
        <v>0</v>
      </c>
      <c r="M495" s="5"/>
      <c r="N495" s="5"/>
      <c r="O495" s="5"/>
      <c r="P495" s="5"/>
      <c r="Q495" s="139">
        <f t="shared" si="448"/>
        <v>0</v>
      </c>
    </row>
    <row r="496" spans="1:17" ht="12.75" hidden="1" customHeight="1">
      <c r="A496" s="189"/>
      <c r="B496" s="986" t="s">
        <v>477</v>
      </c>
      <c r="C496" s="957"/>
      <c r="D496" s="191" t="s">
        <v>478</v>
      </c>
      <c r="E496" s="192"/>
      <c r="F496" s="192"/>
      <c r="G496" s="255">
        <f>SUM(F496,E496)</f>
        <v>0</v>
      </c>
      <c r="H496" s="195"/>
      <c r="I496" s="209"/>
      <c r="J496" s="209"/>
      <c r="K496" s="145">
        <f t="shared" si="321"/>
        <v>0</v>
      </c>
      <c r="L496" s="145">
        <f t="shared" si="324"/>
        <v>0</v>
      </c>
      <c r="M496" s="5"/>
      <c r="N496" s="5"/>
      <c r="O496" s="5"/>
      <c r="P496" s="5"/>
      <c r="Q496" s="139">
        <f t="shared" si="448"/>
        <v>0</v>
      </c>
    </row>
    <row r="497" spans="1:17" ht="12.75" hidden="1" customHeight="1">
      <c r="A497" s="282"/>
      <c r="B497" s="983" t="s">
        <v>725</v>
      </c>
      <c r="C497" s="948"/>
      <c r="D497" s="283" t="s">
        <v>480</v>
      </c>
      <c r="E497" s="284">
        <f t="shared" ref="E497:F497" si="466">SUM(E498:E500)</f>
        <v>0</v>
      </c>
      <c r="F497" s="284">
        <f t="shared" si="466"/>
        <v>0</v>
      </c>
      <c r="G497" s="280">
        <f t="shared" ref="G497:J497" si="467">SUM(G498:G500)</f>
        <v>0</v>
      </c>
      <c r="H497" s="281">
        <f t="shared" si="467"/>
        <v>0</v>
      </c>
      <c r="I497" s="298">
        <f t="shared" si="467"/>
        <v>0</v>
      </c>
      <c r="J497" s="298">
        <f t="shared" si="467"/>
        <v>0</v>
      </c>
      <c r="K497" s="145">
        <f t="shared" si="321"/>
        <v>0</v>
      </c>
      <c r="L497" s="145">
        <f t="shared" si="324"/>
        <v>0</v>
      </c>
      <c r="M497" s="5"/>
      <c r="N497" s="5"/>
      <c r="O497" s="5"/>
      <c r="P497" s="5"/>
      <c r="Q497" s="139">
        <f t="shared" si="448"/>
        <v>0</v>
      </c>
    </row>
    <row r="498" spans="1:17" ht="38.25" hidden="1" customHeight="1">
      <c r="A498" s="189"/>
      <c r="B498" s="225"/>
      <c r="C498" s="285" t="s">
        <v>481</v>
      </c>
      <c r="D498" s="286" t="s">
        <v>482</v>
      </c>
      <c r="E498" s="192"/>
      <c r="F498" s="192"/>
      <c r="G498" s="255">
        <f>SUM(F498,E498)</f>
        <v>0</v>
      </c>
      <c r="H498" s="195"/>
      <c r="I498" s="209"/>
      <c r="J498" s="209"/>
      <c r="K498" s="145">
        <f t="shared" si="321"/>
        <v>0</v>
      </c>
      <c r="L498" s="145">
        <f t="shared" si="324"/>
        <v>0</v>
      </c>
      <c r="M498" s="5"/>
      <c r="N498" s="5"/>
      <c r="O498" s="5"/>
      <c r="P498" s="5"/>
      <c r="Q498" s="139">
        <f t="shared" si="448"/>
        <v>0</v>
      </c>
    </row>
    <row r="499" spans="1:17" ht="38.25" hidden="1" customHeight="1">
      <c r="A499" s="189"/>
      <c r="B499" s="225"/>
      <c r="C499" s="285" t="s">
        <v>483</v>
      </c>
      <c r="D499" s="286" t="s">
        <v>484</v>
      </c>
      <c r="E499" s="192"/>
      <c r="F499" s="192"/>
      <c r="G499" s="255">
        <f>SUM(F499,E499)</f>
        <v>0</v>
      </c>
      <c r="H499" s="195"/>
      <c r="I499" s="209"/>
      <c r="J499" s="209"/>
      <c r="K499" s="145">
        <f t="shared" si="321"/>
        <v>0</v>
      </c>
      <c r="L499" s="145">
        <f t="shared" si="324"/>
        <v>0</v>
      </c>
      <c r="M499" s="5"/>
      <c r="N499" s="5"/>
      <c r="O499" s="5"/>
      <c r="P499" s="5"/>
      <c r="Q499" s="139">
        <f t="shared" si="448"/>
        <v>0</v>
      </c>
    </row>
    <row r="500" spans="1:17" ht="25.5" hidden="1" customHeight="1">
      <c r="A500" s="189"/>
      <c r="B500" s="225"/>
      <c r="C500" s="285" t="s">
        <v>485</v>
      </c>
      <c r="D500" s="286" t="s">
        <v>486</v>
      </c>
      <c r="E500" s="192"/>
      <c r="F500" s="192"/>
      <c r="G500" s="255">
        <f>SUM(F500,E500)</f>
        <v>0</v>
      </c>
      <c r="H500" s="195"/>
      <c r="I500" s="209"/>
      <c r="J500" s="209"/>
      <c r="K500" s="145">
        <f t="shared" si="321"/>
        <v>0</v>
      </c>
      <c r="L500" s="145">
        <f t="shared" si="324"/>
        <v>0</v>
      </c>
      <c r="M500" s="5"/>
      <c r="N500" s="5"/>
      <c r="O500" s="5"/>
      <c r="P500" s="5"/>
      <c r="Q500" s="139">
        <f t="shared" si="448"/>
        <v>0</v>
      </c>
    </row>
    <row r="501" spans="1:17" ht="27" hidden="1" customHeight="1">
      <c r="A501" s="189"/>
      <c r="B501" s="986" t="s">
        <v>487</v>
      </c>
      <c r="C501" s="957"/>
      <c r="D501" s="191" t="s">
        <v>488</v>
      </c>
      <c r="E501" s="192"/>
      <c r="F501" s="192"/>
      <c r="G501" s="255">
        <f>SUM(F501,E501)</f>
        <v>0</v>
      </c>
      <c r="H501" s="195"/>
      <c r="I501" s="209"/>
      <c r="J501" s="209"/>
      <c r="K501" s="145">
        <f t="shared" si="321"/>
        <v>0</v>
      </c>
      <c r="L501" s="145">
        <f t="shared" si="324"/>
        <v>0</v>
      </c>
      <c r="M501" s="5"/>
      <c r="N501" s="5"/>
      <c r="O501" s="5"/>
      <c r="P501" s="5"/>
      <c r="Q501" s="139">
        <f t="shared" si="448"/>
        <v>0</v>
      </c>
    </row>
    <row r="502" spans="1:17" ht="27.75" customHeight="1">
      <c r="A502" s="287"/>
      <c r="B502" s="982" t="s">
        <v>523</v>
      </c>
      <c r="C502" s="948"/>
      <c r="D502" s="278" t="s">
        <v>524</v>
      </c>
      <c r="E502" s="279">
        <f>E503</f>
        <v>249.7</v>
      </c>
      <c r="F502" s="279">
        <f>F503</f>
        <v>0</v>
      </c>
      <c r="G502" s="288">
        <f>G503</f>
        <v>249.7</v>
      </c>
      <c r="H502" s="145"/>
      <c r="I502" s="145"/>
      <c r="J502" s="5"/>
      <c r="K502" s="132"/>
      <c r="L502" s="132" t="str">
        <f>B502</f>
        <v>Subventii primite de la bugetul de stat pentru finantarea unor programe de interes national (42.02.51.01+42.02.51.02)</v>
      </c>
      <c r="M502" s="132"/>
      <c r="N502" s="132"/>
      <c r="O502" s="132"/>
      <c r="P502" s="132"/>
      <c r="Q502" s="139">
        <f t="shared" si="448"/>
        <v>0</v>
      </c>
    </row>
    <row r="503" spans="1:17" ht="40.5" customHeight="1">
      <c r="A503" s="197"/>
      <c r="B503" s="221"/>
      <c r="C503" s="198" t="s">
        <v>527</v>
      </c>
      <c r="D503" s="247" t="s">
        <v>528</v>
      </c>
      <c r="E503" s="200">
        <v>249.7</v>
      </c>
      <c r="F503" s="200"/>
      <c r="G503" s="256">
        <f t="shared" ref="G503:J516" si="468">SUM(F503,E503)</f>
        <v>249.7</v>
      </c>
      <c r="H503" s="227"/>
      <c r="I503" s="243"/>
      <c r="J503" s="243"/>
      <c r="K503" s="137">
        <f t="shared" ref="K503:K573" si="469">SUM(E503:G503)</f>
        <v>499.4</v>
      </c>
      <c r="L503" s="137" t="str">
        <f>C503</f>
        <v>Subventii primite de la bugetul de stat pentru finantarea unor programe de interes national, destinate sectiunii de dezvoltare a bugetului local</v>
      </c>
      <c r="M503" s="132"/>
      <c r="N503" s="132"/>
      <c r="O503" s="132"/>
      <c r="P503" s="132"/>
      <c r="Q503" s="139">
        <f t="shared" si="448"/>
        <v>0</v>
      </c>
    </row>
    <row r="504" spans="1:17" ht="27.75" hidden="1" customHeight="1">
      <c r="A504" s="189"/>
      <c r="B504" s="986" t="s">
        <v>489</v>
      </c>
      <c r="C504" s="957"/>
      <c r="D504" s="191" t="s">
        <v>490</v>
      </c>
      <c r="E504" s="238"/>
      <c r="F504" s="238"/>
      <c r="G504" s="255">
        <f t="shared" si="468"/>
        <v>0</v>
      </c>
      <c r="H504" s="227"/>
      <c r="I504" s="243"/>
      <c r="J504" s="243"/>
      <c r="K504" s="145">
        <f t="shared" si="469"/>
        <v>0</v>
      </c>
      <c r="L504" s="145">
        <f t="shared" si="324"/>
        <v>0</v>
      </c>
      <c r="M504" s="5"/>
      <c r="N504" s="5"/>
      <c r="O504" s="5"/>
      <c r="P504" s="5"/>
      <c r="Q504" s="139">
        <f t="shared" si="448"/>
        <v>0</v>
      </c>
    </row>
    <row r="505" spans="1:17" ht="40.5" hidden="1" customHeight="1">
      <c r="A505" s="189"/>
      <c r="B505" s="986" t="s">
        <v>529</v>
      </c>
      <c r="C505" s="957"/>
      <c r="D505" s="191" t="s">
        <v>530</v>
      </c>
      <c r="E505" s="192"/>
      <c r="F505" s="192"/>
      <c r="G505" s="255">
        <f t="shared" si="468"/>
        <v>0</v>
      </c>
      <c r="H505" s="227"/>
      <c r="I505" s="243"/>
      <c r="J505" s="243"/>
      <c r="K505" s="145">
        <f t="shared" si="469"/>
        <v>0</v>
      </c>
      <c r="L505" s="145">
        <f t="shared" si="324"/>
        <v>0</v>
      </c>
      <c r="M505" s="5"/>
      <c r="N505" s="5"/>
      <c r="O505" s="5"/>
      <c r="P505" s="5"/>
      <c r="Q505" s="139">
        <f t="shared" si="448"/>
        <v>0</v>
      </c>
    </row>
    <row r="506" spans="1:17" ht="27.75" hidden="1" customHeight="1">
      <c r="A506" s="189"/>
      <c r="B506" s="986" t="s">
        <v>531</v>
      </c>
      <c r="C506" s="957"/>
      <c r="D506" s="191" t="s">
        <v>532</v>
      </c>
      <c r="E506" s="192"/>
      <c r="F506" s="192"/>
      <c r="G506" s="255">
        <f t="shared" si="468"/>
        <v>0</v>
      </c>
      <c r="H506" s="227"/>
      <c r="I506" s="243"/>
      <c r="J506" s="243"/>
      <c r="K506" s="145">
        <f t="shared" si="469"/>
        <v>0</v>
      </c>
      <c r="L506" s="145">
        <f t="shared" si="324"/>
        <v>0</v>
      </c>
      <c r="M506" s="5"/>
      <c r="N506" s="5"/>
      <c r="O506" s="5"/>
      <c r="P506" s="5"/>
      <c r="Q506" s="139">
        <f t="shared" si="448"/>
        <v>0</v>
      </c>
    </row>
    <row r="507" spans="1:17" ht="27.75" hidden="1" customHeight="1">
      <c r="A507" s="189"/>
      <c r="B507" s="986" t="s">
        <v>521</v>
      </c>
      <c r="C507" s="957"/>
      <c r="D507" s="191" t="s">
        <v>533</v>
      </c>
      <c r="E507" s="192"/>
      <c r="F507" s="192"/>
      <c r="G507" s="255">
        <f t="shared" si="468"/>
        <v>0</v>
      </c>
      <c r="H507" s="227"/>
      <c r="I507" s="243"/>
      <c r="J507" s="243"/>
      <c r="K507" s="145">
        <f t="shared" si="469"/>
        <v>0</v>
      </c>
      <c r="L507" s="145">
        <f t="shared" si="324"/>
        <v>0</v>
      </c>
      <c r="M507" s="5"/>
      <c r="N507" s="5"/>
      <c r="O507" s="5"/>
      <c r="P507" s="5"/>
      <c r="Q507" s="139">
        <f t="shared" si="448"/>
        <v>0</v>
      </c>
    </row>
    <row r="508" spans="1:17" ht="27.75" hidden="1" customHeight="1">
      <c r="A508" s="189"/>
      <c r="B508" s="986" t="s">
        <v>534</v>
      </c>
      <c r="C508" s="957"/>
      <c r="D508" s="191" t="s">
        <v>535</v>
      </c>
      <c r="E508" s="192">
        <f>E509</f>
        <v>0</v>
      </c>
      <c r="F508" s="192">
        <f>F509</f>
        <v>0</v>
      </c>
      <c r="G508" s="255">
        <f t="shared" si="468"/>
        <v>0</v>
      </c>
      <c r="H508" s="224">
        <f>H509</f>
        <v>0</v>
      </c>
      <c r="I508" s="242">
        <f>I509</f>
        <v>0</v>
      </c>
      <c r="J508" s="242">
        <f>J509</f>
        <v>0</v>
      </c>
      <c r="K508" s="145">
        <f t="shared" si="469"/>
        <v>0</v>
      </c>
      <c r="L508" s="145">
        <f t="shared" si="324"/>
        <v>0</v>
      </c>
      <c r="M508" s="5"/>
      <c r="N508" s="5"/>
      <c r="O508" s="5"/>
      <c r="P508" s="5"/>
      <c r="Q508" s="139">
        <f t="shared" si="448"/>
        <v>0</v>
      </c>
    </row>
    <row r="509" spans="1:17" ht="27.75" hidden="1" customHeight="1">
      <c r="A509" s="189"/>
      <c r="B509" s="290"/>
      <c r="C509" s="291" t="s">
        <v>538</v>
      </c>
      <c r="D509" s="191" t="s">
        <v>539</v>
      </c>
      <c r="E509" s="192"/>
      <c r="F509" s="192"/>
      <c r="G509" s="255">
        <f t="shared" si="468"/>
        <v>0</v>
      </c>
      <c r="H509" s="227"/>
      <c r="I509" s="243"/>
      <c r="J509" s="243"/>
      <c r="K509" s="145">
        <f t="shared" si="469"/>
        <v>0</v>
      </c>
      <c r="L509" s="145">
        <f t="shared" si="324"/>
        <v>0</v>
      </c>
      <c r="M509" s="5"/>
      <c r="N509" s="5"/>
      <c r="O509" s="5"/>
      <c r="P509" s="5"/>
      <c r="Q509" s="139">
        <f t="shared" si="448"/>
        <v>0</v>
      </c>
    </row>
    <row r="510" spans="1:17" ht="15" customHeight="1">
      <c r="A510" s="197"/>
      <c r="B510" s="988" t="s">
        <v>540</v>
      </c>
      <c r="C510" s="957"/>
      <c r="D510" s="199" t="s">
        <v>541</v>
      </c>
      <c r="E510" s="200">
        <v>852</v>
      </c>
      <c r="F510" s="200"/>
      <c r="G510" s="256">
        <f t="shared" si="468"/>
        <v>852</v>
      </c>
      <c r="H510" s="227"/>
      <c r="I510" s="243"/>
      <c r="J510" s="243"/>
      <c r="K510" s="137">
        <f t="shared" si="469"/>
        <v>1704</v>
      </c>
      <c r="L510" s="137">
        <f t="shared" si="324"/>
        <v>852</v>
      </c>
      <c r="M510" s="132"/>
      <c r="N510" s="132"/>
      <c r="O510" s="132"/>
      <c r="P510" s="132"/>
      <c r="Q510" s="139">
        <f t="shared" si="448"/>
        <v>0</v>
      </c>
    </row>
    <row r="511" spans="1:17" ht="52.5" hidden="1" customHeight="1">
      <c r="A511" s="197"/>
      <c r="B511" s="988" t="s">
        <v>542</v>
      </c>
      <c r="C511" s="957"/>
      <c r="D511" s="199" t="s">
        <v>543</v>
      </c>
      <c r="E511" s="200"/>
      <c r="F511" s="200"/>
      <c r="G511" s="256">
        <f t="shared" si="468"/>
        <v>0</v>
      </c>
      <c r="H511" s="292">
        <f t="shared" si="468"/>
        <v>0</v>
      </c>
      <c r="I511" s="292">
        <f t="shared" si="468"/>
        <v>0</v>
      </c>
      <c r="J511" s="292">
        <f t="shared" si="468"/>
        <v>0</v>
      </c>
      <c r="K511" s="137">
        <f t="shared" si="469"/>
        <v>0</v>
      </c>
      <c r="L511" s="137">
        <f t="shared" si="324"/>
        <v>0</v>
      </c>
      <c r="M511" s="132"/>
      <c r="N511" s="132"/>
      <c r="O511" s="132"/>
      <c r="P511" s="132"/>
      <c r="Q511" s="139">
        <f t="shared" si="448"/>
        <v>0</v>
      </c>
    </row>
    <row r="512" spans="1:17" ht="31.5" customHeight="1">
      <c r="A512" s="293"/>
      <c r="B512" s="988" t="s">
        <v>546</v>
      </c>
      <c r="C512" s="957"/>
      <c r="D512" s="199" t="s">
        <v>547</v>
      </c>
      <c r="E512" s="200">
        <v>15852.2</v>
      </c>
      <c r="F512" s="200"/>
      <c r="G512" s="256">
        <f t="shared" si="468"/>
        <v>15852.2</v>
      </c>
      <c r="H512" s="292">
        <f t="shared" si="468"/>
        <v>15852.2</v>
      </c>
      <c r="I512" s="292">
        <f t="shared" si="468"/>
        <v>31704.400000000001</v>
      </c>
      <c r="J512" s="292">
        <f t="shared" si="468"/>
        <v>47556.600000000006</v>
      </c>
      <c r="K512" s="137">
        <f t="shared" si="469"/>
        <v>31704.400000000001</v>
      </c>
      <c r="L512" s="137">
        <f t="shared" si="324"/>
        <v>15852.2</v>
      </c>
      <c r="M512" s="132"/>
      <c r="N512" s="132"/>
      <c r="O512" s="132"/>
      <c r="P512" s="132"/>
      <c r="Q512" s="139">
        <f t="shared" si="448"/>
        <v>0</v>
      </c>
    </row>
    <row r="513" spans="1:17" ht="29.25" customHeight="1">
      <c r="A513" s="293"/>
      <c r="B513" s="988" t="s">
        <v>548</v>
      </c>
      <c r="C513" s="957"/>
      <c r="D513" s="199" t="s">
        <v>549</v>
      </c>
      <c r="E513" s="200">
        <f>SUM(E514:E516)</f>
        <v>57117.2</v>
      </c>
      <c r="F513" s="200">
        <f>SUM(F514:F516)</f>
        <v>0</v>
      </c>
      <c r="G513" s="256">
        <f t="shared" ref="G513" si="470">SUM(G514:G516)</f>
        <v>57117.2</v>
      </c>
      <c r="H513" s="227"/>
      <c r="I513" s="243"/>
      <c r="J513" s="243"/>
      <c r="K513" s="137">
        <f t="shared" ref="K513:K516" si="471">SUM(E513:G513)</f>
        <v>114234.4</v>
      </c>
      <c r="L513" s="137">
        <f t="shared" si="324"/>
        <v>57117.2</v>
      </c>
      <c r="M513" s="132"/>
      <c r="N513" s="132"/>
      <c r="O513" s="132"/>
      <c r="P513" s="132"/>
      <c r="Q513" s="139">
        <f t="shared" si="448"/>
        <v>0</v>
      </c>
    </row>
    <row r="514" spans="1:17" ht="12.75">
      <c r="A514" s="293"/>
      <c r="B514" s="294"/>
      <c r="C514" s="91" t="s">
        <v>550</v>
      </c>
      <c r="D514" s="199" t="s">
        <v>551</v>
      </c>
      <c r="E514" s="200">
        <v>47997.99</v>
      </c>
      <c r="F514" s="200"/>
      <c r="G514" s="256">
        <f t="shared" si="468"/>
        <v>47997.99</v>
      </c>
      <c r="H514" s="227"/>
      <c r="I514" s="243"/>
      <c r="J514" s="243"/>
      <c r="K514" s="137">
        <f t="shared" si="471"/>
        <v>95995.98</v>
      </c>
      <c r="L514" s="137">
        <f t="shared" si="324"/>
        <v>47997.99</v>
      </c>
      <c r="M514" s="132"/>
      <c r="N514" s="132"/>
      <c r="O514" s="132"/>
      <c r="P514" s="132"/>
      <c r="Q514" s="139">
        <f t="shared" si="448"/>
        <v>0</v>
      </c>
    </row>
    <row r="515" spans="1:17" ht="12.75" hidden="1">
      <c r="A515" s="295"/>
      <c r="B515" s="296"/>
      <c r="C515" s="91" t="s">
        <v>552</v>
      </c>
      <c r="D515" s="226" t="s">
        <v>553</v>
      </c>
      <c r="E515" s="238"/>
      <c r="F515" s="200"/>
      <c r="G515" s="255">
        <f t="shared" si="468"/>
        <v>0</v>
      </c>
      <c r="H515" s="227"/>
      <c r="I515" s="243"/>
      <c r="J515" s="243"/>
      <c r="K515" s="145">
        <f t="shared" si="471"/>
        <v>0</v>
      </c>
      <c r="L515" s="137">
        <f t="shared" si="324"/>
        <v>0</v>
      </c>
      <c r="M515" s="5"/>
      <c r="N515" s="5"/>
      <c r="O515" s="5"/>
      <c r="P515" s="5"/>
      <c r="Q515" s="139">
        <f t="shared" si="448"/>
        <v>0</v>
      </c>
    </row>
    <row r="516" spans="1:17" ht="12.75">
      <c r="A516" s="293"/>
      <c r="B516" s="294"/>
      <c r="C516" s="91" t="s">
        <v>554</v>
      </c>
      <c r="D516" s="199" t="s">
        <v>555</v>
      </c>
      <c r="E516" s="200">
        <v>9119.2099999999973</v>
      </c>
      <c r="F516" s="200"/>
      <c r="G516" s="256">
        <f t="shared" si="468"/>
        <v>9119.2099999999973</v>
      </c>
      <c r="H516" s="227"/>
      <c r="I516" s="243"/>
      <c r="J516" s="243"/>
      <c r="K516" s="137">
        <f t="shared" si="471"/>
        <v>18238.419999999995</v>
      </c>
      <c r="L516" s="137">
        <f t="shared" si="324"/>
        <v>9119.2099999999973</v>
      </c>
      <c r="M516" s="132"/>
      <c r="N516" s="132"/>
      <c r="O516" s="132"/>
      <c r="P516" s="132"/>
      <c r="Q516" s="139">
        <f t="shared" si="448"/>
        <v>0</v>
      </c>
    </row>
    <row r="517" spans="1:17" ht="53.25" customHeight="1">
      <c r="A517" s="293"/>
      <c r="B517" s="988" t="s">
        <v>556</v>
      </c>
      <c r="C517" s="957"/>
      <c r="D517" s="199" t="s">
        <v>557</v>
      </c>
      <c r="E517" s="200">
        <f t="shared" ref="E517:F517" si="472">SUM(E518)</f>
        <v>2052.87</v>
      </c>
      <c r="F517" s="200">
        <f t="shared" si="472"/>
        <v>0</v>
      </c>
      <c r="G517" s="256">
        <f t="shared" ref="G517" si="473">SUM(G518)</f>
        <v>2052.87</v>
      </c>
      <c r="H517" s="227"/>
      <c r="I517" s="243"/>
      <c r="J517" s="243"/>
      <c r="K517" s="137">
        <f t="shared" ref="K517:K518" si="474">SUM(E517:G517)</f>
        <v>4105.74</v>
      </c>
      <c r="L517" s="137">
        <f t="shared" ref="L517:L525" si="475">IF(G517&lt;&gt;0,G517,0)</f>
        <v>2052.87</v>
      </c>
      <c r="M517" s="132"/>
      <c r="N517" s="132"/>
      <c r="O517" s="132"/>
      <c r="P517" s="132"/>
      <c r="Q517" s="139">
        <f t="shared" si="448"/>
        <v>0</v>
      </c>
    </row>
    <row r="518" spans="1:17" ht="38.25">
      <c r="A518" s="293"/>
      <c r="B518" s="294"/>
      <c r="C518" s="239" t="s">
        <v>558</v>
      </c>
      <c r="D518" s="199" t="s">
        <v>559</v>
      </c>
      <c r="E518" s="200">
        <f>2058.37-5.47-0.03</f>
        <v>2052.87</v>
      </c>
      <c r="F518" s="200"/>
      <c r="G518" s="256">
        <f t="shared" ref="G518" si="476">SUM(F518,E518)</f>
        <v>2052.87</v>
      </c>
      <c r="H518" s="227"/>
      <c r="I518" s="243"/>
      <c r="J518" s="243"/>
      <c r="K518" s="137">
        <f t="shared" si="474"/>
        <v>4105.74</v>
      </c>
      <c r="L518" s="137">
        <f t="shared" si="475"/>
        <v>2052.87</v>
      </c>
      <c r="M518" s="132"/>
      <c r="N518" s="132"/>
      <c r="O518" s="132"/>
      <c r="P518" s="132"/>
      <c r="Q518" s="139">
        <f t="shared" si="448"/>
        <v>0</v>
      </c>
    </row>
    <row r="519" spans="1:17" ht="25.5" customHeight="1">
      <c r="A519" s="985" t="s">
        <v>714</v>
      </c>
      <c r="B519" s="948"/>
      <c r="C519" s="948"/>
      <c r="D519" s="263" t="s">
        <v>561</v>
      </c>
      <c r="E519" s="264">
        <f>SUM(E520:E521)</f>
        <v>15201.7</v>
      </c>
      <c r="F519" s="264">
        <f t="shared" ref="F519:G519" si="477">SUM(F520:F521)</f>
        <v>0</v>
      </c>
      <c r="G519" s="264">
        <f t="shared" si="477"/>
        <v>15201.7</v>
      </c>
      <c r="H519" s="261">
        <f t="shared" ref="H519:J519" si="478">SUM(H520:H525)</f>
        <v>0</v>
      </c>
      <c r="I519" s="266">
        <f t="shared" si="478"/>
        <v>0</v>
      </c>
      <c r="J519" s="266">
        <f t="shared" si="478"/>
        <v>0</v>
      </c>
      <c r="K519" s="145">
        <f t="shared" ref="K519:K525" si="479">SUM(E519:G519)</f>
        <v>30403.4</v>
      </c>
      <c r="L519" s="145">
        <f t="shared" si="475"/>
        <v>15201.7</v>
      </c>
      <c r="M519" s="5"/>
      <c r="N519" s="5"/>
      <c r="O519" s="5"/>
      <c r="P519" s="5"/>
      <c r="Q519" s="139">
        <f t="shared" si="448"/>
        <v>0</v>
      </c>
    </row>
    <row r="520" spans="1:17" ht="43.9" customHeight="1">
      <c r="A520" s="189"/>
      <c r="B520" s="986" t="s">
        <v>570</v>
      </c>
      <c r="C520" s="957"/>
      <c r="D520" s="191" t="s">
        <v>571</v>
      </c>
      <c r="E520" s="807">
        <v>14958.7</v>
      </c>
      <c r="F520" s="218"/>
      <c r="G520" s="255">
        <f>SUM(E520:F520)</f>
        <v>14958.7</v>
      </c>
      <c r="H520" s="227">
        <f>ROUND(F520*H$7,)</f>
        <v>0</v>
      </c>
      <c r="I520" s="243">
        <f>ROUND(F520*I$7,)</f>
        <v>0</v>
      </c>
      <c r="J520" s="243">
        <f>ROUND(F520*J$7,)</f>
        <v>0</v>
      </c>
      <c r="K520" s="145">
        <f t="shared" si="479"/>
        <v>29917.4</v>
      </c>
      <c r="L520" s="145">
        <f t="shared" si="475"/>
        <v>14958.7</v>
      </c>
      <c r="M520" s="5"/>
      <c r="N520" s="5"/>
      <c r="O520" s="5"/>
      <c r="P520" s="5"/>
      <c r="Q520" s="139">
        <f t="shared" si="448"/>
        <v>0</v>
      </c>
    </row>
    <row r="521" spans="1:17" ht="29.25" customHeight="1">
      <c r="A521" s="293"/>
      <c r="B521" s="988" t="s">
        <v>640</v>
      </c>
      <c r="C521" s="957"/>
      <c r="D521" s="199" t="s">
        <v>994</v>
      </c>
      <c r="E521" s="200">
        <f>SUM(E522:E524)</f>
        <v>243</v>
      </c>
      <c r="F521" s="200">
        <f>SUM(F522:F524)</f>
        <v>0</v>
      </c>
      <c r="G521" s="256">
        <f t="shared" ref="G521" si="480">SUM(G522:G524)</f>
        <v>243</v>
      </c>
      <c r="H521" s="227"/>
      <c r="I521" s="243"/>
      <c r="J521" s="243"/>
      <c r="K521" s="137">
        <f t="shared" si="479"/>
        <v>486</v>
      </c>
      <c r="L521" s="137">
        <f t="shared" si="475"/>
        <v>243</v>
      </c>
      <c r="M521" s="132"/>
      <c r="N521" s="132"/>
      <c r="O521" s="132"/>
      <c r="P521" s="132"/>
      <c r="Q521" s="139">
        <f t="shared" ref="Q521:Q524" si="481">E521-G521</f>
        <v>0</v>
      </c>
    </row>
    <row r="522" spans="1:17" ht="12.75">
      <c r="A522" s="293"/>
      <c r="B522" s="294"/>
      <c r="C522" s="91" t="s">
        <v>550</v>
      </c>
      <c r="D522" s="199" t="s">
        <v>995</v>
      </c>
      <c r="E522" s="200">
        <v>204.2</v>
      </c>
      <c r="F522" s="200"/>
      <c r="G522" s="256">
        <f t="shared" ref="G522:G524" si="482">SUM(F522,E522)</f>
        <v>204.2</v>
      </c>
      <c r="H522" s="227"/>
      <c r="I522" s="243"/>
      <c r="J522" s="243"/>
      <c r="K522" s="137">
        <f t="shared" si="479"/>
        <v>408.4</v>
      </c>
      <c r="L522" s="137">
        <f t="shared" si="475"/>
        <v>204.2</v>
      </c>
      <c r="M522" s="132"/>
      <c r="N522" s="132"/>
      <c r="O522" s="132"/>
      <c r="P522" s="132"/>
      <c r="Q522" s="139">
        <f t="shared" si="481"/>
        <v>0</v>
      </c>
    </row>
    <row r="523" spans="1:17" ht="12.75">
      <c r="A523" s="295"/>
      <c r="B523" s="296"/>
      <c r="C523" s="91" t="s">
        <v>552</v>
      </c>
      <c r="D523" s="199" t="s">
        <v>996</v>
      </c>
      <c r="E523" s="238"/>
      <c r="F523" s="200"/>
      <c r="G523" s="255">
        <f t="shared" si="482"/>
        <v>0</v>
      </c>
      <c r="H523" s="227"/>
      <c r="I523" s="243"/>
      <c r="J523" s="243"/>
      <c r="K523" s="145">
        <f t="shared" si="479"/>
        <v>0</v>
      </c>
      <c r="L523" s="145" t="str">
        <f>C523</f>
        <v>Finantare publica naționala</v>
      </c>
      <c r="M523" s="5"/>
      <c r="N523" s="5"/>
      <c r="O523" s="5"/>
      <c r="P523" s="5"/>
      <c r="Q523" s="139">
        <f t="shared" si="481"/>
        <v>0</v>
      </c>
    </row>
    <row r="524" spans="1:17" ht="12.75">
      <c r="A524" s="293"/>
      <c r="B524" s="294"/>
      <c r="C524" s="91" t="s">
        <v>554</v>
      </c>
      <c r="D524" s="199" t="s">
        <v>997</v>
      </c>
      <c r="E524" s="200">
        <v>38.799999999999997</v>
      </c>
      <c r="F524" s="200"/>
      <c r="G524" s="256">
        <f t="shared" si="482"/>
        <v>38.799999999999997</v>
      </c>
      <c r="H524" s="227"/>
      <c r="I524" s="243"/>
      <c r="J524" s="243"/>
      <c r="K524" s="137">
        <f t="shared" si="479"/>
        <v>77.599999999999994</v>
      </c>
      <c r="L524" s="137">
        <f t="shared" ref="L524" si="483">IF(G524&lt;&gt;0,G524,0)</f>
        <v>38.799999999999997</v>
      </c>
      <c r="M524" s="132"/>
      <c r="N524" s="132"/>
      <c r="O524" s="132"/>
      <c r="P524" s="132"/>
      <c r="Q524" s="139">
        <f t="shared" si="481"/>
        <v>0</v>
      </c>
    </row>
    <row r="525" spans="1:17" ht="38.25" hidden="1" customHeight="1">
      <c r="A525" s="257"/>
      <c r="B525" s="986"/>
      <c r="C525" s="957"/>
      <c r="D525" s="191"/>
      <c r="E525" s="192"/>
      <c r="F525" s="192"/>
      <c r="G525" s="255">
        <f>SUM(E525:F525)</f>
        <v>0</v>
      </c>
      <c r="H525" s="195">
        <f>ROUND(F525*H$7,)</f>
        <v>0</v>
      </c>
      <c r="I525" s="209">
        <f>ROUND(F525*I$7,)</f>
        <v>0</v>
      </c>
      <c r="J525" s="209">
        <f>ROUND(F525*J$7,)</f>
        <v>0</v>
      </c>
      <c r="K525" s="145">
        <f t="shared" si="479"/>
        <v>0</v>
      </c>
      <c r="L525" s="145">
        <f t="shared" si="475"/>
        <v>0</v>
      </c>
      <c r="M525" s="5"/>
      <c r="N525" s="5"/>
      <c r="O525" s="5"/>
      <c r="P525" s="5"/>
      <c r="Q525" s="139">
        <f t="shared" si="448"/>
        <v>0</v>
      </c>
    </row>
    <row r="526" spans="1:17" ht="25.5" customHeight="1">
      <c r="A526" s="985" t="s">
        <v>726</v>
      </c>
      <c r="B526" s="948"/>
      <c r="C526" s="948"/>
      <c r="D526" s="263" t="s">
        <v>573</v>
      </c>
      <c r="E526" s="264">
        <f t="shared" ref="E526:F526" si="484">SUM(E527,E532,E537,E541,E545,E549,E553,E558,E562,E566,E570)</f>
        <v>110230.55</v>
      </c>
      <c r="F526" s="264">
        <f t="shared" si="484"/>
        <v>0</v>
      </c>
      <c r="G526" s="262">
        <f t="shared" ref="G526:J526" si="485">SUM(G527,G532,G537,G541,G545,G549,G553,G558,G562,G566,G570)</f>
        <v>110230.55</v>
      </c>
      <c r="H526" s="261">
        <f t="shared" si="485"/>
        <v>0</v>
      </c>
      <c r="I526" s="266">
        <f t="shared" si="485"/>
        <v>0</v>
      </c>
      <c r="J526" s="266">
        <f t="shared" si="485"/>
        <v>0</v>
      </c>
      <c r="K526" s="145">
        <f t="shared" si="469"/>
        <v>220461.1</v>
      </c>
      <c r="L526" s="145">
        <f t="shared" si="324"/>
        <v>110230.55</v>
      </c>
      <c r="M526" s="5"/>
      <c r="N526" s="5"/>
      <c r="O526" s="5"/>
      <c r="P526" s="5"/>
      <c r="Q526" s="139">
        <f t="shared" si="448"/>
        <v>0</v>
      </c>
    </row>
    <row r="527" spans="1:17" ht="12.75" hidden="1" customHeight="1">
      <c r="A527" s="299"/>
      <c r="B527" s="983" t="s">
        <v>574</v>
      </c>
      <c r="C527" s="948"/>
      <c r="D527" s="283" t="s">
        <v>575</v>
      </c>
      <c r="E527" s="284">
        <f t="shared" ref="E527:F527" si="486">SUM(E528:E531)</f>
        <v>0</v>
      </c>
      <c r="F527" s="284">
        <f t="shared" si="486"/>
        <v>0</v>
      </c>
      <c r="G527" s="280">
        <f t="shared" ref="G527:J527" si="487">SUM(G528:G531)</f>
        <v>0</v>
      </c>
      <c r="H527" s="281">
        <f t="shared" si="487"/>
        <v>0</v>
      </c>
      <c r="I527" s="298">
        <f t="shared" si="487"/>
        <v>0</v>
      </c>
      <c r="J527" s="298">
        <f t="shared" si="487"/>
        <v>0</v>
      </c>
      <c r="K527" s="145">
        <f t="shared" si="469"/>
        <v>0</v>
      </c>
      <c r="L527" s="145">
        <f t="shared" si="324"/>
        <v>0</v>
      </c>
      <c r="M527" s="5"/>
      <c r="N527" s="5"/>
      <c r="O527" s="5"/>
      <c r="P527" s="5"/>
      <c r="Q527" s="139">
        <f t="shared" si="448"/>
        <v>0</v>
      </c>
    </row>
    <row r="528" spans="1:17" ht="12.75" hidden="1" customHeight="1">
      <c r="A528" s="257"/>
      <c r="B528" s="225"/>
      <c r="C528" s="300" t="s">
        <v>576</v>
      </c>
      <c r="D528" s="301" t="s">
        <v>577</v>
      </c>
      <c r="E528" s="238"/>
      <c r="F528" s="238"/>
      <c r="G528" s="193">
        <f>SUM(F528,E528)</f>
        <v>0</v>
      </c>
      <c r="H528" s="227"/>
      <c r="I528" s="243"/>
      <c r="J528" s="243"/>
      <c r="K528" s="145">
        <f t="shared" si="469"/>
        <v>0</v>
      </c>
      <c r="L528" s="145">
        <f t="shared" si="324"/>
        <v>0</v>
      </c>
      <c r="M528" s="5"/>
      <c r="N528" s="5"/>
      <c r="O528" s="5"/>
      <c r="P528" s="5"/>
      <c r="Q528" s="139">
        <f t="shared" si="448"/>
        <v>0</v>
      </c>
    </row>
    <row r="529" spans="1:17" ht="28.5" hidden="1" customHeight="1">
      <c r="A529" s="257"/>
      <c r="B529" s="225"/>
      <c r="C529" s="285" t="s">
        <v>578</v>
      </c>
      <c r="D529" s="286" t="s">
        <v>579</v>
      </c>
      <c r="E529" s="238"/>
      <c r="F529" s="238"/>
      <c r="G529" s="193">
        <f>SUM(F529,E529)</f>
        <v>0</v>
      </c>
      <c r="H529" s="227"/>
      <c r="I529" s="243"/>
      <c r="J529" s="243"/>
      <c r="K529" s="145">
        <f t="shared" si="469"/>
        <v>0</v>
      </c>
      <c r="L529" s="145">
        <f t="shared" si="324"/>
        <v>0</v>
      </c>
      <c r="M529" s="5"/>
      <c r="N529" s="5"/>
      <c r="O529" s="5"/>
      <c r="P529" s="5"/>
      <c r="Q529" s="139">
        <f t="shared" si="448"/>
        <v>0</v>
      </c>
    </row>
    <row r="530" spans="1:17" ht="12.75" hidden="1" customHeight="1">
      <c r="A530" s="257"/>
      <c r="B530" s="225"/>
      <c r="C530" s="302" t="s">
        <v>580</v>
      </c>
      <c r="D530" s="303" t="s">
        <v>581</v>
      </c>
      <c r="E530" s="304"/>
      <c r="F530" s="304"/>
      <c r="G530" s="193">
        <f>SUM(F530,E530)</f>
        <v>0</v>
      </c>
      <c r="H530" s="305"/>
      <c r="I530" s="327"/>
      <c r="J530" s="327"/>
      <c r="K530" s="145">
        <f t="shared" si="469"/>
        <v>0</v>
      </c>
      <c r="L530" s="145">
        <f t="shared" si="324"/>
        <v>0</v>
      </c>
      <c r="M530" s="5"/>
      <c r="N530" s="5"/>
      <c r="O530" s="5"/>
      <c r="P530" s="5"/>
      <c r="Q530" s="139">
        <f t="shared" si="448"/>
        <v>0</v>
      </c>
    </row>
    <row r="531" spans="1:17" ht="12.75" hidden="1" customHeight="1">
      <c r="A531" s="257"/>
      <c r="B531" s="225"/>
      <c r="C531" s="302" t="s">
        <v>582</v>
      </c>
      <c r="D531" s="303" t="s">
        <v>583</v>
      </c>
      <c r="E531" s="304"/>
      <c r="F531" s="304"/>
      <c r="G531" s="193">
        <f>SUM(F531,E531)</f>
        <v>0</v>
      </c>
      <c r="H531" s="305"/>
      <c r="I531" s="327"/>
      <c r="J531" s="327"/>
      <c r="K531" s="145">
        <f t="shared" si="469"/>
        <v>0</v>
      </c>
      <c r="L531" s="145">
        <f t="shared" si="324"/>
        <v>0</v>
      </c>
      <c r="M531" s="5"/>
      <c r="N531" s="5"/>
      <c r="O531" s="5"/>
      <c r="P531" s="5"/>
      <c r="Q531" s="139">
        <f t="shared" si="448"/>
        <v>0</v>
      </c>
    </row>
    <row r="532" spans="1:17" ht="12.75" hidden="1" customHeight="1">
      <c r="A532" s="299"/>
      <c r="B532" s="983" t="s">
        <v>584</v>
      </c>
      <c r="C532" s="948"/>
      <c r="D532" s="283" t="s">
        <v>585</v>
      </c>
      <c r="E532" s="284">
        <f t="shared" ref="E532:F532" si="488">SUM(E533:E536)</f>
        <v>0</v>
      </c>
      <c r="F532" s="284">
        <f t="shared" si="488"/>
        <v>0</v>
      </c>
      <c r="G532" s="280">
        <f t="shared" ref="G532:J532" si="489">SUM(G533:G536)</f>
        <v>0</v>
      </c>
      <c r="H532" s="281">
        <f t="shared" si="489"/>
        <v>0</v>
      </c>
      <c r="I532" s="298">
        <f t="shared" si="489"/>
        <v>0</v>
      </c>
      <c r="J532" s="298">
        <f t="shared" si="489"/>
        <v>0</v>
      </c>
      <c r="K532" s="145">
        <f t="shared" si="469"/>
        <v>0</v>
      </c>
      <c r="L532" s="145">
        <f t="shared" si="324"/>
        <v>0</v>
      </c>
      <c r="M532" s="5"/>
      <c r="N532" s="5"/>
      <c r="O532" s="5"/>
      <c r="P532" s="5"/>
      <c r="Q532" s="139">
        <f t="shared" si="448"/>
        <v>0</v>
      </c>
    </row>
    <row r="533" spans="1:17" ht="12.75" hidden="1" customHeight="1">
      <c r="A533" s="257"/>
      <c r="B533" s="225"/>
      <c r="C533" s="300" t="s">
        <v>576</v>
      </c>
      <c r="D533" s="301" t="s">
        <v>586</v>
      </c>
      <c r="E533" s="238"/>
      <c r="F533" s="238"/>
      <c r="G533" s="193">
        <f>SUM(F533,E533)</f>
        <v>0</v>
      </c>
      <c r="H533" s="306"/>
      <c r="I533" s="328"/>
      <c r="J533" s="328"/>
      <c r="K533" s="145">
        <f t="shared" si="469"/>
        <v>0</v>
      </c>
      <c r="L533" s="145">
        <f t="shared" si="324"/>
        <v>0</v>
      </c>
      <c r="M533" s="5"/>
      <c r="N533" s="5"/>
      <c r="O533" s="5"/>
      <c r="P533" s="5"/>
      <c r="Q533" s="139">
        <f t="shared" si="448"/>
        <v>0</v>
      </c>
    </row>
    <row r="534" spans="1:17" ht="12.75" hidden="1" customHeight="1">
      <c r="A534" s="257"/>
      <c r="B534" s="225"/>
      <c r="C534" s="300" t="s">
        <v>578</v>
      </c>
      <c r="D534" s="301" t="s">
        <v>587</v>
      </c>
      <c r="E534" s="238"/>
      <c r="F534" s="238"/>
      <c r="G534" s="193">
        <f>SUM(F534,E534)</f>
        <v>0</v>
      </c>
      <c r="H534" s="227"/>
      <c r="I534" s="243"/>
      <c r="J534" s="243"/>
      <c r="K534" s="145">
        <f t="shared" si="469"/>
        <v>0</v>
      </c>
      <c r="L534" s="145">
        <f t="shared" si="324"/>
        <v>0</v>
      </c>
      <c r="M534" s="5"/>
      <c r="N534" s="5"/>
      <c r="O534" s="5"/>
      <c r="P534" s="5"/>
      <c r="Q534" s="139">
        <f t="shared" si="448"/>
        <v>0</v>
      </c>
    </row>
    <row r="535" spans="1:17" ht="12.75" hidden="1" customHeight="1">
      <c r="A535" s="257"/>
      <c r="B535" s="225"/>
      <c r="C535" s="302" t="s">
        <v>580</v>
      </c>
      <c r="D535" s="303" t="s">
        <v>588</v>
      </c>
      <c r="E535" s="304"/>
      <c r="F535" s="304"/>
      <c r="G535" s="193">
        <f>SUM(F535,E535)</f>
        <v>0</v>
      </c>
      <c r="H535" s="305"/>
      <c r="I535" s="327"/>
      <c r="J535" s="327"/>
      <c r="K535" s="145">
        <f t="shared" si="469"/>
        <v>0</v>
      </c>
      <c r="L535" s="145">
        <f t="shared" si="324"/>
        <v>0</v>
      </c>
      <c r="M535" s="5"/>
      <c r="N535" s="5"/>
      <c r="O535" s="5"/>
      <c r="P535" s="5"/>
      <c r="Q535" s="139">
        <f t="shared" si="448"/>
        <v>0</v>
      </c>
    </row>
    <row r="536" spans="1:17" ht="12.75" hidden="1" customHeight="1">
      <c r="A536" s="257"/>
      <c r="B536" s="225"/>
      <c r="C536" s="302" t="s">
        <v>582</v>
      </c>
      <c r="D536" s="303" t="s">
        <v>589</v>
      </c>
      <c r="E536" s="304"/>
      <c r="F536" s="304"/>
      <c r="G536" s="193">
        <f>SUM(F536,E536)</f>
        <v>0</v>
      </c>
      <c r="H536" s="305"/>
      <c r="I536" s="327"/>
      <c r="J536" s="327"/>
      <c r="K536" s="145">
        <f t="shared" si="469"/>
        <v>0</v>
      </c>
      <c r="L536" s="145">
        <f t="shared" ref="L536:L567" si="490">IF(G536&lt;&gt;0,G536,0)</f>
        <v>0</v>
      </c>
      <c r="M536" s="5"/>
      <c r="N536" s="5"/>
      <c r="O536" s="5"/>
      <c r="P536" s="5"/>
      <c r="Q536" s="139">
        <f t="shared" ref="Q536:Q599" si="491">E536-G536</f>
        <v>0</v>
      </c>
    </row>
    <row r="537" spans="1:17" ht="12.75" hidden="1" customHeight="1">
      <c r="A537" s="299"/>
      <c r="B537" s="983" t="s">
        <v>590</v>
      </c>
      <c r="C537" s="948"/>
      <c r="D537" s="283" t="s">
        <v>591</v>
      </c>
      <c r="E537" s="284">
        <f t="shared" ref="E537:F537" si="492">SUM(E538:E540)</f>
        <v>0</v>
      </c>
      <c r="F537" s="284">
        <f t="shared" si="492"/>
        <v>0</v>
      </c>
      <c r="G537" s="280">
        <f t="shared" ref="G537:J537" si="493">SUM(G538:G540)</f>
        <v>0</v>
      </c>
      <c r="H537" s="281">
        <f t="shared" si="493"/>
        <v>0</v>
      </c>
      <c r="I537" s="298">
        <f t="shared" si="493"/>
        <v>0</v>
      </c>
      <c r="J537" s="298">
        <f t="shared" si="493"/>
        <v>0</v>
      </c>
      <c r="K537" s="145">
        <f t="shared" si="469"/>
        <v>0</v>
      </c>
      <c r="L537" s="145">
        <f t="shared" si="490"/>
        <v>0</v>
      </c>
      <c r="M537" s="5"/>
      <c r="N537" s="5"/>
      <c r="O537" s="5"/>
      <c r="P537" s="5"/>
      <c r="Q537" s="139">
        <f t="shared" si="491"/>
        <v>0</v>
      </c>
    </row>
    <row r="538" spans="1:17" ht="12.75" hidden="1" customHeight="1">
      <c r="A538" s="257"/>
      <c r="B538" s="225"/>
      <c r="C538" s="300" t="s">
        <v>576</v>
      </c>
      <c r="D538" s="301" t="s">
        <v>592</v>
      </c>
      <c r="E538" s="307"/>
      <c r="F538" s="307"/>
      <c r="G538" s="193">
        <f>SUM(F538,E538)</f>
        <v>0</v>
      </c>
      <c r="H538" s="306"/>
      <c r="I538" s="328"/>
      <c r="J538" s="328"/>
      <c r="K538" s="145">
        <f t="shared" si="469"/>
        <v>0</v>
      </c>
      <c r="L538" s="145">
        <f t="shared" si="490"/>
        <v>0</v>
      </c>
      <c r="M538" s="5"/>
      <c r="N538" s="5"/>
      <c r="O538" s="5"/>
      <c r="P538" s="5"/>
      <c r="Q538" s="139">
        <f t="shared" si="491"/>
        <v>0</v>
      </c>
    </row>
    <row r="539" spans="1:17" ht="12.75" hidden="1" customHeight="1">
      <c r="A539" s="257"/>
      <c r="B539" s="225"/>
      <c r="C539" s="300" t="s">
        <v>578</v>
      </c>
      <c r="D539" s="301" t="s">
        <v>593</v>
      </c>
      <c r="E539" s="307"/>
      <c r="F539" s="307"/>
      <c r="G539" s="193">
        <f>SUM(F539,E539)</f>
        <v>0</v>
      </c>
      <c r="H539" s="306"/>
      <c r="I539" s="328"/>
      <c r="J539" s="328"/>
      <c r="K539" s="145">
        <f t="shared" si="469"/>
        <v>0</v>
      </c>
      <c r="L539" s="145">
        <f t="shared" si="490"/>
        <v>0</v>
      </c>
      <c r="M539" s="5"/>
      <c r="N539" s="5"/>
      <c r="O539" s="5"/>
      <c r="P539" s="5"/>
      <c r="Q539" s="139">
        <f t="shared" si="491"/>
        <v>0</v>
      </c>
    </row>
    <row r="540" spans="1:17" ht="12.75" hidden="1" customHeight="1">
      <c r="A540" s="257"/>
      <c r="B540" s="225"/>
      <c r="C540" s="302" t="s">
        <v>580</v>
      </c>
      <c r="D540" s="303" t="s">
        <v>594</v>
      </c>
      <c r="E540" s="304"/>
      <c r="F540" s="304"/>
      <c r="G540" s="193">
        <f>SUM(F540,E540)</f>
        <v>0</v>
      </c>
      <c r="H540" s="305"/>
      <c r="I540" s="327"/>
      <c r="J540" s="327"/>
      <c r="K540" s="145">
        <f t="shared" si="469"/>
        <v>0</v>
      </c>
      <c r="L540" s="145">
        <f t="shared" si="490"/>
        <v>0</v>
      </c>
      <c r="M540" s="5"/>
      <c r="N540" s="5"/>
      <c r="O540" s="5"/>
      <c r="P540" s="5"/>
      <c r="Q540" s="139">
        <f t="shared" si="491"/>
        <v>0</v>
      </c>
    </row>
    <row r="541" spans="1:17" ht="12.75" hidden="1" customHeight="1">
      <c r="A541" s="299"/>
      <c r="B541" s="983" t="s">
        <v>595</v>
      </c>
      <c r="C541" s="948"/>
      <c r="D541" s="283" t="s">
        <v>596</v>
      </c>
      <c r="E541" s="284">
        <f t="shared" ref="E541:F541" si="494">SUM(E542:E544)</f>
        <v>0</v>
      </c>
      <c r="F541" s="284">
        <f t="shared" si="494"/>
        <v>0</v>
      </c>
      <c r="G541" s="280">
        <f t="shared" ref="G541:J541" si="495">SUM(G542:G544)</f>
        <v>0</v>
      </c>
      <c r="H541" s="281">
        <f t="shared" si="495"/>
        <v>0</v>
      </c>
      <c r="I541" s="298">
        <f t="shared" si="495"/>
        <v>0</v>
      </c>
      <c r="J541" s="298">
        <f t="shared" si="495"/>
        <v>0</v>
      </c>
      <c r="K541" s="145">
        <f t="shared" si="469"/>
        <v>0</v>
      </c>
      <c r="L541" s="145">
        <f t="shared" si="490"/>
        <v>0</v>
      </c>
      <c r="M541" s="5"/>
      <c r="N541" s="5"/>
      <c r="O541" s="5"/>
      <c r="P541" s="5"/>
      <c r="Q541" s="139">
        <f t="shared" si="491"/>
        <v>0</v>
      </c>
    </row>
    <row r="542" spans="1:17" ht="12.75" hidden="1" customHeight="1">
      <c r="A542" s="257"/>
      <c r="B542" s="225"/>
      <c r="C542" s="300" t="s">
        <v>576</v>
      </c>
      <c r="D542" s="301" t="s">
        <v>597</v>
      </c>
      <c r="E542" s="307"/>
      <c r="F542" s="307"/>
      <c r="G542" s="193">
        <f>SUM(F542,E542)</f>
        <v>0</v>
      </c>
      <c r="H542" s="306"/>
      <c r="I542" s="328"/>
      <c r="J542" s="328"/>
      <c r="K542" s="145">
        <f t="shared" si="469"/>
        <v>0</v>
      </c>
      <c r="L542" s="145">
        <f t="shared" si="490"/>
        <v>0</v>
      </c>
      <c r="M542" s="5"/>
      <c r="N542" s="5"/>
      <c r="O542" s="5"/>
      <c r="P542" s="5"/>
      <c r="Q542" s="139">
        <f t="shared" si="491"/>
        <v>0</v>
      </c>
    </row>
    <row r="543" spans="1:17" ht="12.75" hidden="1" customHeight="1">
      <c r="A543" s="257"/>
      <c r="B543" s="225"/>
      <c r="C543" s="300" t="s">
        <v>578</v>
      </c>
      <c r="D543" s="301" t="s">
        <v>598</v>
      </c>
      <c r="E543" s="307"/>
      <c r="F543" s="307"/>
      <c r="G543" s="193">
        <f>SUM(F543,E543)</f>
        <v>0</v>
      </c>
      <c r="H543" s="306"/>
      <c r="I543" s="328"/>
      <c r="J543" s="328"/>
      <c r="K543" s="145">
        <f t="shared" si="469"/>
        <v>0</v>
      </c>
      <c r="L543" s="145">
        <f t="shared" si="490"/>
        <v>0</v>
      </c>
      <c r="M543" s="5"/>
      <c r="N543" s="5"/>
      <c r="O543" s="5"/>
      <c r="P543" s="5"/>
      <c r="Q543" s="139">
        <f t="shared" si="491"/>
        <v>0</v>
      </c>
    </row>
    <row r="544" spans="1:17" ht="12.75" hidden="1" customHeight="1">
      <c r="A544" s="257"/>
      <c r="B544" s="225"/>
      <c r="C544" s="302" t="s">
        <v>580</v>
      </c>
      <c r="D544" s="303" t="s">
        <v>599</v>
      </c>
      <c r="E544" s="304"/>
      <c r="F544" s="304"/>
      <c r="G544" s="193">
        <f>SUM(F544,E544)</f>
        <v>0</v>
      </c>
      <c r="H544" s="305"/>
      <c r="I544" s="327"/>
      <c r="J544" s="327"/>
      <c r="K544" s="145">
        <f t="shared" si="469"/>
        <v>0</v>
      </c>
      <c r="L544" s="145">
        <f t="shared" si="490"/>
        <v>0</v>
      </c>
      <c r="M544" s="5"/>
      <c r="N544" s="5"/>
      <c r="O544" s="5"/>
      <c r="P544" s="5"/>
      <c r="Q544" s="139">
        <f t="shared" si="491"/>
        <v>0</v>
      </c>
    </row>
    <row r="545" spans="1:17" ht="12.75" hidden="1" customHeight="1">
      <c r="A545" s="299"/>
      <c r="B545" s="983" t="s">
        <v>600</v>
      </c>
      <c r="C545" s="948"/>
      <c r="D545" s="283" t="s">
        <v>601</v>
      </c>
      <c r="E545" s="284">
        <f t="shared" ref="E545:F545" si="496">SUM(E546:E548)</f>
        <v>0</v>
      </c>
      <c r="F545" s="284">
        <f t="shared" si="496"/>
        <v>0</v>
      </c>
      <c r="G545" s="280">
        <f t="shared" ref="G545:J545" si="497">SUM(G546:G548)</f>
        <v>0</v>
      </c>
      <c r="H545" s="281">
        <f t="shared" si="497"/>
        <v>0</v>
      </c>
      <c r="I545" s="298">
        <f t="shared" si="497"/>
        <v>0</v>
      </c>
      <c r="J545" s="298">
        <f t="shared" si="497"/>
        <v>0</v>
      </c>
      <c r="K545" s="145">
        <f t="shared" si="469"/>
        <v>0</v>
      </c>
      <c r="L545" s="145">
        <f t="shared" si="490"/>
        <v>0</v>
      </c>
      <c r="M545" s="5"/>
      <c r="N545" s="5"/>
      <c r="O545" s="5"/>
      <c r="P545" s="5"/>
      <c r="Q545" s="139">
        <f t="shared" si="491"/>
        <v>0</v>
      </c>
    </row>
    <row r="546" spans="1:17" ht="12.75" hidden="1" customHeight="1">
      <c r="A546" s="257"/>
      <c r="B546" s="225"/>
      <c r="C546" s="300" t="s">
        <v>576</v>
      </c>
      <c r="D546" s="301" t="s">
        <v>602</v>
      </c>
      <c r="E546" s="307"/>
      <c r="F546" s="307"/>
      <c r="G546" s="193">
        <f>SUM(F546,E546)</f>
        <v>0</v>
      </c>
      <c r="H546" s="306"/>
      <c r="I546" s="328"/>
      <c r="J546" s="328"/>
      <c r="K546" s="145">
        <f t="shared" si="469"/>
        <v>0</v>
      </c>
      <c r="L546" s="145">
        <f t="shared" si="490"/>
        <v>0</v>
      </c>
      <c r="M546" s="5"/>
      <c r="N546" s="5"/>
      <c r="O546" s="5"/>
      <c r="P546" s="5"/>
      <c r="Q546" s="139">
        <f t="shared" si="491"/>
        <v>0</v>
      </c>
    </row>
    <row r="547" spans="1:17" ht="12.75" hidden="1" customHeight="1">
      <c r="A547" s="257"/>
      <c r="B547" s="225"/>
      <c r="C547" s="300" t="s">
        <v>578</v>
      </c>
      <c r="D547" s="301" t="s">
        <v>603</v>
      </c>
      <c r="E547" s="307"/>
      <c r="F547" s="307"/>
      <c r="G547" s="193">
        <f>SUM(F547,E547)</f>
        <v>0</v>
      </c>
      <c r="H547" s="306"/>
      <c r="I547" s="328"/>
      <c r="J547" s="328"/>
      <c r="K547" s="145">
        <f t="shared" si="469"/>
        <v>0</v>
      </c>
      <c r="L547" s="145">
        <f t="shared" si="490"/>
        <v>0</v>
      </c>
      <c r="M547" s="5"/>
      <c r="N547" s="5"/>
      <c r="O547" s="5"/>
      <c r="P547" s="5"/>
      <c r="Q547" s="139">
        <f t="shared" si="491"/>
        <v>0</v>
      </c>
    </row>
    <row r="548" spans="1:17" ht="12.75" hidden="1" customHeight="1">
      <c r="A548" s="257"/>
      <c r="B548" s="225"/>
      <c r="C548" s="302" t="s">
        <v>580</v>
      </c>
      <c r="D548" s="303" t="s">
        <v>604</v>
      </c>
      <c r="E548" s="304"/>
      <c r="F548" s="304"/>
      <c r="G548" s="193">
        <f>SUM(F548,E548)</f>
        <v>0</v>
      </c>
      <c r="H548" s="305"/>
      <c r="I548" s="327"/>
      <c r="J548" s="327"/>
      <c r="K548" s="145">
        <f t="shared" si="469"/>
        <v>0</v>
      </c>
      <c r="L548" s="145">
        <f t="shared" si="490"/>
        <v>0</v>
      </c>
      <c r="M548" s="5"/>
      <c r="N548" s="5"/>
      <c r="O548" s="5"/>
      <c r="P548" s="5"/>
      <c r="Q548" s="139">
        <f t="shared" si="491"/>
        <v>0</v>
      </c>
    </row>
    <row r="549" spans="1:17" ht="12.75" hidden="1" customHeight="1">
      <c r="A549" s="299"/>
      <c r="B549" s="983" t="s">
        <v>727</v>
      </c>
      <c r="C549" s="948"/>
      <c r="D549" s="283" t="s">
        <v>606</v>
      </c>
      <c r="E549" s="284">
        <f t="shared" ref="E549:F549" si="498">SUM(E550:E552)</f>
        <v>0</v>
      </c>
      <c r="F549" s="284">
        <f t="shared" si="498"/>
        <v>0</v>
      </c>
      <c r="G549" s="280">
        <f t="shared" ref="G549:J549" si="499">SUM(G550:G552)</f>
        <v>0</v>
      </c>
      <c r="H549" s="281">
        <f t="shared" si="499"/>
        <v>0</v>
      </c>
      <c r="I549" s="298">
        <f t="shared" si="499"/>
        <v>0</v>
      </c>
      <c r="J549" s="298">
        <f t="shared" si="499"/>
        <v>0</v>
      </c>
      <c r="K549" s="145">
        <f t="shared" si="469"/>
        <v>0</v>
      </c>
      <c r="L549" s="145">
        <f t="shared" si="490"/>
        <v>0</v>
      </c>
      <c r="M549" s="5"/>
      <c r="N549" s="5"/>
      <c r="O549" s="5"/>
      <c r="P549" s="5"/>
      <c r="Q549" s="139">
        <f t="shared" si="491"/>
        <v>0</v>
      </c>
    </row>
    <row r="550" spans="1:17" ht="12.75" hidden="1" customHeight="1">
      <c r="A550" s="257"/>
      <c r="B550" s="225"/>
      <c r="C550" s="300" t="s">
        <v>576</v>
      </c>
      <c r="D550" s="301" t="s">
        <v>607</v>
      </c>
      <c r="E550" s="307"/>
      <c r="F550" s="307"/>
      <c r="G550" s="193">
        <f>SUM(F550,E550)</f>
        <v>0</v>
      </c>
      <c r="H550" s="306"/>
      <c r="I550" s="328"/>
      <c r="J550" s="328"/>
      <c r="K550" s="145">
        <f t="shared" si="469"/>
        <v>0</v>
      </c>
      <c r="L550" s="145">
        <f t="shared" si="490"/>
        <v>0</v>
      </c>
      <c r="M550" s="5"/>
      <c r="N550" s="5"/>
      <c r="O550" s="5"/>
      <c r="P550" s="5"/>
      <c r="Q550" s="139">
        <f t="shared" si="491"/>
        <v>0</v>
      </c>
    </row>
    <row r="551" spans="1:17" ht="12.75" hidden="1" customHeight="1">
      <c r="A551" s="257"/>
      <c r="B551" s="225"/>
      <c r="C551" s="300" t="s">
        <v>578</v>
      </c>
      <c r="D551" s="301" t="s">
        <v>608</v>
      </c>
      <c r="E551" s="307"/>
      <c r="F551" s="307"/>
      <c r="G551" s="193">
        <f>SUM(F551,E551)</f>
        <v>0</v>
      </c>
      <c r="H551" s="306"/>
      <c r="I551" s="328"/>
      <c r="J551" s="328"/>
      <c r="K551" s="145">
        <f t="shared" si="469"/>
        <v>0</v>
      </c>
      <c r="L551" s="145">
        <f t="shared" si="490"/>
        <v>0</v>
      </c>
      <c r="M551" s="5"/>
      <c r="N551" s="5"/>
      <c r="O551" s="5"/>
      <c r="P551" s="5"/>
      <c r="Q551" s="139">
        <f t="shared" si="491"/>
        <v>0</v>
      </c>
    </row>
    <row r="552" spans="1:17" ht="12.75" hidden="1" customHeight="1">
      <c r="A552" s="257"/>
      <c r="B552" s="225"/>
      <c r="C552" s="302" t="s">
        <v>580</v>
      </c>
      <c r="D552" s="303" t="s">
        <v>609</v>
      </c>
      <c r="E552" s="304"/>
      <c r="F552" s="304"/>
      <c r="G552" s="193">
        <f>SUM(F552,E552)</f>
        <v>0</v>
      </c>
      <c r="H552" s="305"/>
      <c r="I552" s="327"/>
      <c r="J552" s="327"/>
      <c r="K552" s="145">
        <f t="shared" si="469"/>
        <v>0</v>
      </c>
      <c r="L552" s="145">
        <f t="shared" si="490"/>
        <v>0</v>
      </c>
      <c r="M552" s="5"/>
      <c r="N552" s="5"/>
      <c r="O552" s="5"/>
      <c r="P552" s="5"/>
      <c r="Q552" s="139">
        <f t="shared" si="491"/>
        <v>0</v>
      </c>
    </row>
    <row r="553" spans="1:17" ht="12.75" hidden="1" customHeight="1">
      <c r="A553" s="299"/>
      <c r="B553" s="983" t="s">
        <v>610</v>
      </c>
      <c r="C553" s="948"/>
      <c r="D553" s="283" t="s">
        <v>611</v>
      </c>
      <c r="E553" s="284">
        <f t="shared" ref="E553:F553" si="500">SUM(E554:E557)</f>
        <v>0</v>
      </c>
      <c r="F553" s="284">
        <f t="shared" si="500"/>
        <v>0</v>
      </c>
      <c r="G553" s="280">
        <f t="shared" ref="G553:J553" si="501">SUM(G554:G557)</f>
        <v>0</v>
      </c>
      <c r="H553" s="281">
        <f t="shared" si="501"/>
        <v>0</v>
      </c>
      <c r="I553" s="298">
        <f t="shared" si="501"/>
        <v>0</v>
      </c>
      <c r="J553" s="298">
        <f t="shared" si="501"/>
        <v>0</v>
      </c>
      <c r="K553" s="145">
        <f t="shared" si="469"/>
        <v>0</v>
      </c>
      <c r="L553" s="145">
        <f t="shared" si="490"/>
        <v>0</v>
      </c>
      <c r="M553" s="5"/>
      <c r="N553" s="5"/>
      <c r="O553" s="5"/>
      <c r="P553" s="5"/>
      <c r="Q553" s="139">
        <f t="shared" si="491"/>
        <v>0</v>
      </c>
    </row>
    <row r="554" spans="1:17" ht="12.75" hidden="1" customHeight="1">
      <c r="A554" s="257"/>
      <c r="B554" s="225"/>
      <c r="C554" s="300" t="s">
        <v>576</v>
      </c>
      <c r="D554" s="301" t="s">
        <v>612</v>
      </c>
      <c r="E554" s="307"/>
      <c r="F554" s="307"/>
      <c r="G554" s="193">
        <f>SUM(F554,E554)</f>
        <v>0</v>
      </c>
      <c r="H554" s="306"/>
      <c r="I554" s="328"/>
      <c r="J554" s="328"/>
      <c r="K554" s="145">
        <f t="shared" si="469"/>
        <v>0</v>
      </c>
      <c r="L554" s="145">
        <f t="shared" si="490"/>
        <v>0</v>
      </c>
      <c r="M554" s="5"/>
      <c r="N554" s="5"/>
      <c r="O554" s="5"/>
      <c r="P554" s="5"/>
      <c r="Q554" s="139">
        <f t="shared" si="491"/>
        <v>0</v>
      </c>
    </row>
    <row r="555" spans="1:17" ht="12.75" hidden="1" customHeight="1">
      <c r="A555" s="257"/>
      <c r="B555" s="225"/>
      <c r="C555" s="300" t="s">
        <v>578</v>
      </c>
      <c r="D555" s="301" t="s">
        <v>613</v>
      </c>
      <c r="E555" s="307"/>
      <c r="F555" s="307"/>
      <c r="G555" s="193">
        <f>SUM(F555,E555)</f>
        <v>0</v>
      </c>
      <c r="H555" s="306"/>
      <c r="I555" s="328"/>
      <c r="J555" s="328"/>
      <c r="K555" s="145">
        <f t="shared" si="469"/>
        <v>0</v>
      </c>
      <c r="L555" s="145">
        <f t="shared" si="490"/>
        <v>0</v>
      </c>
      <c r="M555" s="5"/>
      <c r="N555" s="5"/>
      <c r="O555" s="5"/>
      <c r="P555" s="5"/>
      <c r="Q555" s="139">
        <f t="shared" si="491"/>
        <v>0</v>
      </c>
    </row>
    <row r="556" spans="1:17" ht="12.75" hidden="1" customHeight="1">
      <c r="A556" s="257"/>
      <c r="B556" s="225"/>
      <c r="C556" s="302" t="s">
        <v>580</v>
      </c>
      <c r="D556" s="303" t="s">
        <v>614</v>
      </c>
      <c r="E556" s="304"/>
      <c r="F556" s="304"/>
      <c r="G556" s="193">
        <f>SUM(F556,E556)</f>
        <v>0</v>
      </c>
      <c r="H556" s="305"/>
      <c r="I556" s="327"/>
      <c r="J556" s="327"/>
      <c r="K556" s="145">
        <f t="shared" si="469"/>
        <v>0</v>
      </c>
      <c r="L556" s="145">
        <f t="shared" si="490"/>
        <v>0</v>
      </c>
      <c r="M556" s="5"/>
      <c r="N556" s="5"/>
      <c r="O556" s="5"/>
      <c r="P556" s="5"/>
      <c r="Q556" s="139">
        <f t="shared" si="491"/>
        <v>0</v>
      </c>
    </row>
    <row r="557" spans="1:17" ht="12.75" hidden="1" customHeight="1">
      <c r="A557" s="257"/>
      <c r="B557" s="225"/>
      <c r="C557" s="302" t="s">
        <v>582</v>
      </c>
      <c r="D557" s="303" t="s">
        <v>615</v>
      </c>
      <c r="E557" s="304"/>
      <c r="F557" s="304"/>
      <c r="G557" s="193">
        <f>SUM(F557,E557)</f>
        <v>0</v>
      </c>
      <c r="H557" s="305"/>
      <c r="I557" s="327"/>
      <c r="J557" s="327"/>
      <c r="K557" s="145">
        <f t="shared" si="469"/>
        <v>0</v>
      </c>
      <c r="L557" s="145">
        <f t="shared" si="490"/>
        <v>0</v>
      </c>
      <c r="M557" s="5"/>
      <c r="N557" s="5"/>
      <c r="O557" s="5"/>
      <c r="P557" s="5"/>
      <c r="Q557" s="139">
        <f t="shared" si="491"/>
        <v>0</v>
      </c>
    </row>
    <row r="558" spans="1:17" ht="12.75" hidden="1" customHeight="1">
      <c r="A558" s="299"/>
      <c r="B558" s="983" t="s">
        <v>728</v>
      </c>
      <c r="C558" s="948"/>
      <c r="D558" s="283" t="s">
        <v>617</v>
      </c>
      <c r="E558" s="284">
        <f t="shared" ref="E558:F558" si="502">SUM(E559:E561)</f>
        <v>0</v>
      </c>
      <c r="F558" s="284">
        <f t="shared" si="502"/>
        <v>0</v>
      </c>
      <c r="G558" s="280">
        <f t="shared" ref="G558:J558" si="503">SUM(G559:G561)</f>
        <v>0</v>
      </c>
      <c r="H558" s="281">
        <f t="shared" si="503"/>
        <v>0</v>
      </c>
      <c r="I558" s="298">
        <f t="shared" si="503"/>
        <v>0</v>
      </c>
      <c r="J558" s="298">
        <f t="shared" si="503"/>
        <v>0</v>
      </c>
      <c r="K558" s="145">
        <f t="shared" si="469"/>
        <v>0</v>
      </c>
      <c r="L558" s="145">
        <f t="shared" si="490"/>
        <v>0</v>
      </c>
      <c r="M558" s="5"/>
      <c r="N558" s="5"/>
      <c r="O558" s="5"/>
      <c r="P558" s="5"/>
      <c r="Q558" s="139">
        <f t="shared" si="491"/>
        <v>0</v>
      </c>
    </row>
    <row r="559" spans="1:17" ht="12.75" hidden="1" customHeight="1">
      <c r="A559" s="257"/>
      <c r="B559" s="225"/>
      <c r="C559" s="300" t="s">
        <v>576</v>
      </c>
      <c r="D559" s="301" t="s">
        <v>618</v>
      </c>
      <c r="E559" s="307"/>
      <c r="F559" s="307"/>
      <c r="G559" s="193">
        <f>SUM(F559,E559)</f>
        <v>0</v>
      </c>
      <c r="H559" s="306"/>
      <c r="I559" s="328"/>
      <c r="J559" s="328"/>
      <c r="K559" s="145">
        <f t="shared" si="469"/>
        <v>0</v>
      </c>
      <c r="L559" s="145">
        <f t="shared" si="490"/>
        <v>0</v>
      </c>
      <c r="M559" s="5"/>
      <c r="N559" s="5"/>
      <c r="O559" s="5"/>
      <c r="P559" s="5"/>
      <c r="Q559" s="139">
        <f t="shared" si="491"/>
        <v>0</v>
      </c>
    </row>
    <row r="560" spans="1:17" ht="12.75" hidden="1" customHeight="1">
      <c r="A560" s="257"/>
      <c r="B560" s="225"/>
      <c r="C560" s="300" t="s">
        <v>578</v>
      </c>
      <c r="D560" s="301" t="s">
        <v>619</v>
      </c>
      <c r="E560" s="307"/>
      <c r="F560" s="307"/>
      <c r="G560" s="193">
        <f>SUM(F560,E560)</f>
        <v>0</v>
      </c>
      <c r="H560" s="306"/>
      <c r="I560" s="328"/>
      <c r="J560" s="328"/>
      <c r="K560" s="145">
        <f t="shared" si="469"/>
        <v>0</v>
      </c>
      <c r="L560" s="145">
        <f t="shared" si="490"/>
        <v>0</v>
      </c>
      <c r="M560" s="5"/>
      <c r="N560" s="5"/>
      <c r="O560" s="5"/>
      <c r="P560" s="5"/>
      <c r="Q560" s="139">
        <f t="shared" si="491"/>
        <v>0</v>
      </c>
    </row>
    <row r="561" spans="1:17" ht="12.75" hidden="1" customHeight="1">
      <c r="A561" s="257"/>
      <c r="B561" s="225"/>
      <c r="C561" s="302" t="s">
        <v>580</v>
      </c>
      <c r="D561" s="303" t="s">
        <v>620</v>
      </c>
      <c r="E561" s="304"/>
      <c r="F561" s="304"/>
      <c r="G561" s="193">
        <f>SUM(F561,E561)</f>
        <v>0</v>
      </c>
      <c r="H561" s="305"/>
      <c r="I561" s="327"/>
      <c r="J561" s="327"/>
      <c r="K561" s="145">
        <f t="shared" si="469"/>
        <v>0</v>
      </c>
      <c r="L561" s="145">
        <f t="shared" si="490"/>
        <v>0</v>
      </c>
      <c r="M561" s="5"/>
      <c r="N561" s="5"/>
      <c r="O561" s="5"/>
      <c r="P561" s="5"/>
      <c r="Q561" s="139">
        <f t="shared" si="491"/>
        <v>0</v>
      </c>
    </row>
    <row r="562" spans="1:17" ht="25.5" customHeight="1">
      <c r="A562" s="299"/>
      <c r="B562" s="983" t="s">
        <v>621</v>
      </c>
      <c r="C562" s="948"/>
      <c r="D562" s="283" t="s">
        <v>622</v>
      </c>
      <c r="E562" s="284">
        <f t="shared" ref="E562:F562" si="504">SUM(E563:E565)</f>
        <v>109191.55</v>
      </c>
      <c r="F562" s="284">
        <f t="shared" si="504"/>
        <v>0</v>
      </c>
      <c r="G562" s="280">
        <f t="shared" ref="G562:J562" si="505">SUM(G563:G565)</f>
        <v>109191.55</v>
      </c>
      <c r="H562" s="281">
        <f t="shared" si="505"/>
        <v>0</v>
      </c>
      <c r="I562" s="298">
        <f t="shared" si="505"/>
        <v>0</v>
      </c>
      <c r="J562" s="298">
        <f t="shared" si="505"/>
        <v>0</v>
      </c>
      <c r="K562" s="145">
        <f t="shared" si="469"/>
        <v>218383.1</v>
      </c>
      <c r="L562" s="145">
        <f t="shared" si="490"/>
        <v>109191.55</v>
      </c>
      <c r="M562" s="5"/>
      <c r="N562" s="5"/>
      <c r="O562" s="5"/>
      <c r="P562" s="5"/>
      <c r="Q562" s="139">
        <f t="shared" si="491"/>
        <v>0</v>
      </c>
    </row>
    <row r="563" spans="1:17" ht="12.75" customHeight="1">
      <c r="A563" s="257"/>
      <c r="B563" s="225"/>
      <c r="C563" s="300" t="s">
        <v>576</v>
      </c>
      <c r="D563" s="301" t="s">
        <v>623</v>
      </c>
      <c r="E563" s="307">
        <v>1583.0500000000002</v>
      </c>
      <c r="F563" s="307"/>
      <c r="G563" s="193">
        <f>SUM(F563,E563)</f>
        <v>1583.0500000000002</v>
      </c>
      <c r="H563" s="306"/>
      <c r="I563" s="328"/>
      <c r="J563" s="328"/>
      <c r="K563" s="145">
        <f t="shared" si="469"/>
        <v>3166.1000000000004</v>
      </c>
      <c r="L563" s="145">
        <f t="shared" si="490"/>
        <v>1583.0500000000002</v>
      </c>
      <c r="M563" s="5"/>
      <c r="N563" s="5"/>
      <c r="O563" s="5"/>
      <c r="P563" s="5"/>
      <c r="Q563" s="139">
        <f t="shared" si="491"/>
        <v>0</v>
      </c>
    </row>
    <row r="564" spans="1:17" ht="12.75" hidden="1" customHeight="1">
      <c r="A564" s="257"/>
      <c r="B564" s="225"/>
      <c r="C564" s="300" t="s">
        <v>578</v>
      </c>
      <c r="D564" s="301" t="s">
        <v>624</v>
      </c>
      <c r="E564" s="307"/>
      <c r="F564" s="307"/>
      <c r="G564" s="193">
        <f>SUM(F564,E564)</f>
        <v>0</v>
      </c>
      <c r="H564" s="306"/>
      <c r="I564" s="328"/>
      <c r="J564" s="328"/>
      <c r="K564" s="145">
        <f t="shared" si="469"/>
        <v>0</v>
      </c>
      <c r="L564" s="145">
        <f t="shared" si="490"/>
        <v>0</v>
      </c>
      <c r="M564" s="5"/>
      <c r="N564" s="5"/>
      <c r="O564" s="5"/>
      <c r="P564" s="5"/>
      <c r="Q564" s="139">
        <f t="shared" si="491"/>
        <v>0</v>
      </c>
    </row>
    <row r="565" spans="1:17" ht="12.75" customHeight="1">
      <c r="A565" s="257"/>
      <c r="B565" s="225"/>
      <c r="C565" s="302" t="s">
        <v>580</v>
      </c>
      <c r="D565" s="303" t="s">
        <v>625</v>
      </c>
      <c r="E565" s="304">
        <v>107608.5</v>
      </c>
      <c r="F565" s="304"/>
      <c r="G565" s="193">
        <f>SUM(F565,E565)</f>
        <v>107608.5</v>
      </c>
      <c r="H565" s="305"/>
      <c r="I565" s="327"/>
      <c r="J565" s="327"/>
      <c r="K565" s="145">
        <f t="shared" si="469"/>
        <v>215217</v>
      </c>
      <c r="L565" s="145">
        <f t="shared" si="490"/>
        <v>107608.5</v>
      </c>
      <c r="M565" s="5"/>
      <c r="N565" s="5"/>
      <c r="O565" s="5"/>
      <c r="P565" s="5"/>
      <c r="Q565" s="139">
        <f t="shared" si="491"/>
        <v>0</v>
      </c>
    </row>
    <row r="566" spans="1:17" ht="25.5" customHeight="1">
      <c r="A566" s="299"/>
      <c r="B566" s="983" t="s">
        <v>626</v>
      </c>
      <c r="C566" s="948"/>
      <c r="D566" s="283" t="s">
        <v>627</v>
      </c>
      <c r="E566" s="284">
        <f t="shared" ref="E566:F566" si="506">SUM(E567:E569)</f>
        <v>839</v>
      </c>
      <c r="F566" s="284">
        <f t="shared" si="506"/>
        <v>0</v>
      </c>
      <c r="G566" s="280">
        <f t="shared" ref="G566:J566" si="507">SUM(G567:G569)</f>
        <v>839</v>
      </c>
      <c r="H566" s="281">
        <f t="shared" si="507"/>
        <v>0</v>
      </c>
      <c r="I566" s="298">
        <f t="shared" si="507"/>
        <v>0</v>
      </c>
      <c r="J566" s="298">
        <f t="shared" si="507"/>
        <v>0</v>
      </c>
      <c r="K566" s="145">
        <f t="shared" si="469"/>
        <v>1678</v>
      </c>
      <c r="L566" s="145">
        <f t="shared" si="490"/>
        <v>839</v>
      </c>
      <c r="M566" s="5"/>
      <c r="N566" s="5"/>
      <c r="O566" s="5"/>
      <c r="P566" s="5"/>
      <c r="Q566" s="139">
        <f t="shared" si="491"/>
        <v>0</v>
      </c>
    </row>
    <row r="567" spans="1:17" ht="12.75" hidden="1" customHeight="1">
      <c r="A567" s="257"/>
      <c r="B567" s="225"/>
      <c r="C567" s="300" t="s">
        <v>576</v>
      </c>
      <c r="D567" s="301" t="s">
        <v>628</v>
      </c>
      <c r="E567" s="307"/>
      <c r="F567" s="307"/>
      <c r="G567" s="193">
        <f>SUM(F567,E567)</f>
        <v>0</v>
      </c>
      <c r="H567" s="306"/>
      <c r="I567" s="328"/>
      <c r="J567" s="328"/>
      <c r="K567" s="145">
        <f t="shared" si="469"/>
        <v>0</v>
      </c>
      <c r="L567" s="145">
        <f t="shared" si="490"/>
        <v>0</v>
      </c>
      <c r="M567" s="5"/>
      <c r="N567" s="5"/>
      <c r="O567" s="5"/>
      <c r="P567" s="5"/>
      <c r="Q567" s="139">
        <f t="shared" si="491"/>
        <v>0</v>
      </c>
    </row>
    <row r="568" spans="1:17" ht="12.75" customHeight="1">
      <c r="A568" s="257"/>
      <c r="B568" s="225"/>
      <c r="C568" s="300" t="s">
        <v>578</v>
      </c>
      <c r="D568" s="301" t="s">
        <v>629</v>
      </c>
      <c r="E568" s="307">
        <v>839</v>
      </c>
      <c r="F568" s="307"/>
      <c r="G568" s="193">
        <f>SUM(F568,E568)</f>
        <v>839</v>
      </c>
      <c r="H568" s="306"/>
      <c r="I568" s="328"/>
      <c r="J568" s="328"/>
      <c r="K568" s="145">
        <f t="shared" si="469"/>
        <v>1678</v>
      </c>
      <c r="L568" s="145">
        <f t="shared" ref="L568:L599" si="508">IF(G568&lt;&gt;0,G568,0)</f>
        <v>839</v>
      </c>
      <c r="M568" s="5"/>
      <c r="N568" s="5"/>
      <c r="O568" s="5"/>
      <c r="P568" s="5"/>
      <c r="Q568" s="139">
        <f t="shared" si="491"/>
        <v>0</v>
      </c>
    </row>
    <row r="569" spans="1:17" ht="12.75" hidden="1" customHeight="1">
      <c r="A569" s="257"/>
      <c r="B569" s="225"/>
      <c r="C569" s="302" t="s">
        <v>580</v>
      </c>
      <c r="D569" s="303" t="s">
        <v>631</v>
      </c>
      <c r="E569" s="308"/>
      <c r="F569" s="304"/>
      <c r="G569" s="193">
        <f>SUM(F569,E569)</f>
        <v>0</v>
      </c>
      <c r="H569" s="305"/>
      <c r="I569" s="327"/>
      <c r="J569" s="327"/>
      <c r="K569" s="145">
        <f t="shared" si="469"/>
        <v>0</v>
      </c>
      <c r="L569" s="145">
        <f t="shared" si="508"/>
        <v>0</v>
      </c>
      <c r="M569" s="5"/>
      <c r="N569" s="5"/>
      <c r="O569" s="5"/>
      <c r="P569" s="5"/>
      <c r="Q569" s="139">
        <f t="shared" si="491"/>
        <v>0</v>
      </c>
    </row>
    <row r="570" spans="1:17" ht="25.5" customHeight="1">
      <c r="A570" s="299"/>
      <c r="B570" s="983" t="s">
        <v>632</v>
      </c>
      <c r="C570" s="948"/>
      <c r="D570" s="283" t="s">
        <v>633</v>
      </c>
      <c r="E570" s="284">
        <f t="shared" ref="E570:F570" si="509">SUM(E571:E573)</f>
        <v>200</v>
      </c>
      <c r="F570" s="284">
        <f t="shared" si="509"/>
        <v>0</v>
      </c>
      <c r="G570" s="280">
        <f t="shared" ref="G570:J570" si="510">SUM(G571:G573)</f>
        <v>200</v>
      </c>
      <c r="H570" s="281">
        <f t="shared" si="510"/>
        <v>0</v>
      </c>
      <c r="I570" s="298">
        <f t="shared" si="510"/>
        <v>0</v>
      </c>
      <c r="J570" s="298">
        <f t="shared" si="510"/>
        <v>0</v>
      </c>
      <c r="K570" s="145">
        <f t="shared" si="469"/>
        <v>400</v>
      </c>
      <c r="L570" s="145">
        <f t="shared" si="508"/>
        <v>200</v>
      </c>
      <c r="M570" s="5"/>
      <c r="N570" s="5"/>
      <c r="O570" s="5"/>
      <c r="P570" s="5"/>
      <c r="Q570" s="139">
        <f t="shared" si="491"/>
        <v>0</v>
      </c>
    </row>
    <row r="571" spans="1:17" ht="12.75" hidden="1" customHeight="1">
      <c r="A571" s="257"/>
      <c r="B571" s="225"/>
      <c r="C571" s="300" t="s">
        <v>576</v>
      </c>
      <c r="D571" s="301" t="s">
        <v>634</v>
      </c>
      <c r="E571" s="307"/>
      <c r="F571" s="307"/>
      <c r="G571" s="193">
        <f>SUM(F571,E571)</f>
        <v>0</v>
      </c>
      <c r="H571" s="306"/>
      <c r="I571" s="328"/>
      <c r="J571" s="328"/>
      <c r="K571" s="145">
        <f t="shared" si="469"/>
        <v>0</v>
      </c>
      <c r="L571" s="145">
        <f t="shared" si="508"/>
        <v>0</v>
      </c>
      <c r="M571" s="5"/>
      <c r="N571" s="5"/>
      <c r="O571" s="5"/>
      <c r="P571" s="5"/>
      <c r="Q571" s="139">
        <f t="shared" si="491"/>
        <v>0</v>
      </c>
    </row>
    <row r="572" spans="1:17" ht="12.75" hidden="1" customHeight="1">
      <c r="A572" s="257"/>
      <c r="B572" s="225"/>
      <c r="C572" s="300" t="s">
        <v>578</v>
      </c>
      <c r="D572" s="301" t="s">
        <v>635</v>
      </c>
      <c r="E572" s="307"/>
      <c r="F572" s="307"/>
      <c r="G572" s="193">
        <f>SUM(F572,E572)</f>
        <v>0</v>
      </c>
      <c r="H572" s="306"/>
      <c r="I572" s="328"/>
      <c r="J572" s="328"/>
      <c r="K572" s="145">
        <f t="shared" si="469"/>
        <v>0</v>
      </c>
      <c r="L572" s="145">
        <f t="shared" si="508"/>
        <v>0</v>
      </c>
      <c r="M572" s="5"/>
      <c r="N572" s="5"/>
      <c r="O572" s="5"/>
      <c r="P572" s="5"/>
      <c r="Q572" s="139">
        <f t="shared" si="491"/>
        <v>0</v>
      </c>
    </row>
    <row r="573" spans="1:17" ht="12.75" customHeight="1">
      <c r="A573" s="257"/>
      <c r="B573" s="225"/>
      <c r="C573" s="302" t="s">
        <v>580</v>
      </c>
      <c r="D573" s="303" t="s">
        <v>636</v>
      </c>
      <c r="E573" s="304">
        <v>200</v>
      </c>
      <c r="F573" s="304"/>
      <c r="G573" s="193">
        <f>SUM(F573,E573)</f>
        <v>200</v>
      </c>
      <c r="H573" s="305"/>
      <c r="I573" s="327"/>
      <c r="J573" s="327"/>
      <c r="K573" s="145">
        <f t="shared" si="469"/>
        <v>400</v>
      </c>
      <c r="L573" s="145">
        <f t="shared" si="508"/>
        <v>200</v>
      </c>
      <c r="M573" s="5"/>
      <c r="N573" s="5"/>
      <c r="O573" s="5"/>
      <c r="P573" s="5"/>
      <c r="Q573" s="139">
        <f t="shared" si="491"/>
        <v>0</v>
      </c>
    </row>
    <row r="574" spans="1:17" ht="25.5" hidden="1" customHeight="1">
      <c r="A574" s="985" t="s">
        <v>637</v>
      </c>
      <c r="B574" s="948"/>
      <c r="C574" s="948"/>
      <c r="D574" s="263" t="s">
        <v>638</v>
      </c>
      <c r="E574" s="264">
        <f>E575</f>
        <v>0</v>
      </c>
      <c r="F574" s="264">
        <f>F575</f>
        <v>0</v>
      </c>
      <c r="G574" s="262">
        <f>G575</f>
        <v>0</v>
      </c>
      <c r="H574" s="261"/>
      <c r="I574" s="266"/>
      <c r="J574" s="266"/>
      <c r="K574" s="145"/>
      <c r="L574" s="145">
        <f t="shared" si="508"/>
        <v>0</v>
      </c>
      <c r="M574" s="5"/>
      <c r="N574" s="5"/>
      <c r="O574" s="5"/>
      <c r="P574" s="5"/>
      <c r="Q574" s="139">
        <f t="shared" si="491"/>
        <v>0</v>
      </c>
    </row>
    <row r="575" spans="1:17" ht="52.5" hidden="1" customHeight="1">
      <c r="A575" s="189"/>
      <c r="B575" s="986" t="s">
        <v>639</v>
      </c>
      <c r="C575" s="957"/>
      <c r="D575" s="226"/>
      <c r="E575" s="192"/>
      <c r="F575" s="192"/>
      <c r="G575" s="193">
        <f>SUM(F575,E575)</f>
        <v>0</v>
      </c>
      <c r="H575" s="227"/>
      <c r="I575" s="243"/>
      <c r="J575" s="243"/>
      <c r="K575" s="145"/>
      <c r="L575" s="145">
        <f t="shared" si="508"/>
        <v>0</v>
      </c>
      <c r="M575" s="5"/>
      <c r="N575" s="5"/>
      <c r="O575" s="5"/>
      <c r="P575" s="5"/>
      <c r="Q575" s="139">
        <f t="shared" si="491"/>
        <v>0</v>
      </c>
    </row>
    <row r="576" spans="1:17" ht="25.5" hidden="1" customHeight="1">
      <c r="A576" s="987" t="s">
        <v>640</v>
      </c>
      <c r="B576" s="948"/>
      <c r="C576" s="948"/>
      <c r="D576" s="276" t="s">
        <v>194</v>
      </c>
      <c r="E576" s="259">
        <f>SUM(E577,E581,E585,E589,E593,E597,E601,E605,E608)</f>
        <v>0</v>
      </c>
      <c r="F576" s="259">
        <f>SUM(F577,F581,F585,F589,F593,F597,F601,F605,F608)</f>
        <v>0</v>
      </c>
      <c r="G576" s="260">
        <f>SUM(G577,G581,G585,G589,G593,G597,G601,G605,G608)</f>
        <v>0</v>
      </c>
      <c r="H576" s="261" t="s">
        <v>641</v>
      </c>
      <c r="I576" s="266"/>
      <c r="J576" s="266" t="s">
        <v>641</v>
      </c>
      <c r="K576" s="137">
        <f t="shared" ref="K576:K626" si="511">SUM(E576:G576)</f>
        <v>0</v>
      </c>
      <c r="L576" s="137">
        <f t="shared" si="508"/>
        <v>0</v>
      </c>
      <c r="M576" s="132"/>
      <c r="N576" s="132"/>
      <c r="O576" s="132"/>
      <c r="P576" s="132"/>
      <c r="Q576" s="139">
        <f t="shared" si="491"/>
        <v>0</v>
      </c>
    </row>
    <row r="577" spans="1:17" ht="12.75" hidden="1" customHeight="1">
      <c r="A577" s="309"/>
      <c r="B577" s="982" t="s">
        <v>642</v>
      </c>
      <c r="C577" s="948"/>
      <c r="D577" s="278" t="s">
        <v>643</v>
      </c>
      <c r="E577" s="279">
        <f>SUM(E578:E580)</f>
        <v>0</v>
      </c>
      <c r="F577" s="279">
        <f>SUM(F578:F580)</f>
        <v>0</v>
      </c>
      <c r="G577" s="288">
        <f>SUM(G578:G580)</f>
        <v>0</v>
      </c>
      <c r="H577" s="281" t="s">
        <v>641</v>
      </c>
      <c r="I577" s="298"/>
      <c r="J577" s="298" t="s">
        <v>641</v>
      </c>
      <c r="K577" s="137">
        <f t="shared" si="511"/>
        <v>0</v>
      </c>
      <c r="L577" s="137">
        <f t="shared" si="508"/>
        <v>0</v>
      </c>
      <c r="M577" s="132"/>
      <c r="N577" s="132"/>
      <c r="O577" s="132"/>
      <c r="P577" s="132"/>
      <c r="Q577" s="139">
        <f t="shared" si="491"/>
        <v>0</v>
      </c>
    </row>
    <row r="578" spans="1:17" ht="12.75" hidden="1" customHeight="1">
      <c r="A578" s="310"/>
      <c r="B578" s="311"/>
      <c r="C578" s="312" t="s">
        <v>576</v>
      </c>
      <c r="D578" s="313" t="s">
        <v>644</v>
      </c>
      <c r="E578" s="200"/>
      <c r="F578" s="200"/>
      <c r="G578" s="201">
        <f>SUM(F578,E578)</f>
        <v>0</v>
      </c>
      <c r="H578" s="314" t="s">
        <v>213</v>
      </c>
      <c r="I578" s="329"/>
      <c r="J578" s="330" t="s">
        <v>213</v>
      </c>
      <c r="K578" s="137">
        <f t="shared" si="511"/>
        <v>0</v>
      </c>
      <c r="L578" s="137">
        <f t="shared" si="508"/>
        <v>0</v>
      </c>
      <c r="M578" s="331"/>
      <c r="N578" s="331"/>
      <c r="O578" s="331"/>
      <c r="P578" s="331"/>
      <c r="Q578" s="139">
        <f t="shared" si="491"/>
        <v>0</v>
      </c>
    </row>
    <row r="579" spans="1:17" ht="12.75" hidden="1" customHeight="1">
      <c r="A579" s="310"/>
      <c r="B579" s="311"/>
      <c r="C579" s="312" t="s">
        <v>578</v>
      </c>
      <c r="D579" s="313" t="s">
        <v>645</v>
      </c>
      <c r="E579" s="200"/>
      <c r="F579" s="200"/>
      <c r="G579" s="201">
        <f>SUM(F579,E579)</f>
        <v>0</v>
      </c>
      <c r="H579" s="314" t="s">
        <v>641</v>
      </c>
      <c r="I579" s="329"/>
      <c r="J579" s="330" t="s">
        <v>641</v>
      </c>
      <c r="K579" s="137">
        <f t="shared" si="511"/>
        <v>0</v>
      </c>
      <c r="L579" s="137">
        <f t="shared" si="508"/>
        <v>0</v>
      </c>
      <c r="M579" s="331"/>
      <c r="N579" s="331"/>
      <c r="O579" s="331"/>
      <c r="P579" s="331"/>
      <c r="Q579" s="139">
        <f t="shared" si="491"/>
        <v>0</v>
      </c>
    </row>
    <row r="580" spans="1:17" ht="12.75" hidden="1" customHeight="1">
      <c r="A580" s="315"/>
      <c r="B580" s="316"/>
      <c r="C580" s="317" t="s">
        <v>580</v>
      </c>
      <c r="D580" s="313" t="s">
        <v>646</v>
      </c>
      <c r="E580" s="200" t="s">
        <v>729</v>
      </c>
      <c r="F580" s="200"/>
      <c r="G580" s="201">
        <f>SUM(F580,E580)</f>
        <v>0</v>
      </c>
      <c r="H580" s="318" t="s">
        <v>641</v>
      </c>
      <c r="I580" s="332"/>
      <c r="J580" s="333" t="s">
        <v>641</v>
      </c>
      <c r="K580" s="137">
        <f t="shared" si="511"/>
        <v>0</v>
      </c>
      <c r="L580" s="137">
        <f t="shared" si="508"/>
        <v>0</v>
      </c>
      <c r="M580" s="331"/>
      <c r="N580" s="331"/>
      <c r="O580" s="331"/>
      <c r="P580" s="331"/>
      <c r="Q580" s="139" t="e">
        <f t="shared" si="491"/>
        <v>#VALUE!</v>
      </c>
    </row>
    <row r="581" spans="1:17" ht="12.75" hidden="1" customHeight="1">
      <c r="A581" s="309"/>
      <c r="B581" s="982" t="s">
        <v>647</v>
      </c>
      <c r="C581" s="948"/>
      <c r="D581" s="278" t="s">
        <v>648</v>
      </c>
      <c r="E581" s="279">
        <f>SUM(E582:E584)</f>
        <v>0</v>
      </c>
      <c r="F581" s="279">
        <f>SUM(F582:F584)</f>
        <v>0</v>
      </c>
      <c r="G581" s="288">
        <f>SUM(G582:G584)</f>
        <v>0</v>
      </c>
      <c r="H581" s="281" t="s">
        <v>641</v>
      </c>
      <c r="I581" s="298"/>
      <c r="J581" s="298" t="s">
        <v>641</v>
      </c>
      <c r="K581" s="137">
        <f t="shared" si="511"/>
        <v>0</v>
      </c>
      <c r="L581" s="137">
        <f t="shared" si="508"/>
        <v>0</v>
      </c>
      <c r="M581" s="132"/>
      <c r="N581" s="132"/>
      <c r="O581" s="132"/>
      <c r="P581" s="132"/>
      <c r="Q581" s="139">
        <f t="shared" si="491"/>
        <v>0</v>
      </c>
    </row>
    <row r="582" spans="1:17" ht="12.75" hidden="1" customHeight="1">
      <c r="A582" s="310"/>
      <c r="B582" s="311"/>
      <c r="C582" s="319" t="s">
        <v>576</v>
      </c>
      <c r="D582" s="313" t="s">
        <v>649</v>
      </c>
      <c r="E582" s="200"/>
      <c r="F582" s="200"/>
      <c r="G582" s="201">
        <f>SUM(F582,E582)</f>
        <v>0</v>
      </c>
      <c r="H582" s="314" t="s">
        <v>641</v>
      </c>
      <c r="I582" s="329"/>
      <c r="J582" s="330" t="s">
        <v>641</v>
      </c>
      <c r="K582" s="137">
        <f t="shared" si="511"/>
        <v>0</v>
      </c>
      <c r="L582" s="137">
        <f t="shared" si="508"/>
        <v>0</v>
      </c>
      <c r="M582" s="331"/>
      <c r="N582" s="331"/>
      <c r="O582" s="331"/>
      <c r="P582" s="331"/>
      <c r="Q582" s="139">
        <f t="shared" si="491"/>
        <v>0</v>
      </c>
    </row>
    <row r="583" spans="1:17" ht="12.75" hidden="1" customHeight="1">
      <c r="A583" s="310"/>
      <c r="B583" s="311"/>
      <c r="C583" s="319" t="s">
        <v>578</v>
      </c>
      <c r="D583" s="313" t="s">
        <v>650</v>
      </c>
      <c r="E583" s="320"/>
      <c r="F583" s="320"/>
      <c r="G583" s="201">
        <f>SUM(F583,E583)</f>
        <v>0</v>
      </c>
      <c r="H583" s="314" t="s">
        <v>213</v>
      </c>
      <c r="I583" s="329"/>
      <c r="J583" s="330" t="s">
        <v>213</v>
      </c>
      <c r="K583" s="137">
        <f t="shared" si="511"/>
        <v>0</v>
      </c>
      <c r="L583" s="137">
        <f t="shared" si="508"/>
        <v>0</v>
      </c>
      <c r="M583" s="331"/>
      <c r="N583" s="331"/>
      <c r="O583" s="331"/>
      <c r="P583" s="331"/>
      <c r="Q583" s="139">
        <f t="shared" si="491"/>
        <v>0</v>
      </c>
    </row>
    <row r="584" spans="1:17" ht="12.75" hidden="1" customHeight="1">
      <c r="A584" s="321"/>
      <c r="B584" s="322"/>
      <c r="C584" s="323" t="s">
        <v>580</v>
      </c>
      <c r="D584" s="324" t="s">
        <v>651</v>
      </c>
      <c r="E584" s="325"/>
      <c r="F584" s="325"/>
      <c r="G584" s="193">
        <f>SUM(F584,E584)</f>
        <v>0</v>
      </c>
      <c r="H584" s="326" t="s">
        <v>641</v>
      </c>
      <c r="I584" s="332"/>
      <c r="J584" s="334" t="s">
        <v>641</v>
      </c>
      <c r="K584" s="145">
        <f t="shared" si="511"/>
        <v>0</v>
      </c>
      <c r="L584" s="145">
        <f t="shared" si="508"/>
        <v>0</v>
      </c>
      <c r="M584" s="335"/>
      <c r="N584" s="335"/>
      <c r="O584" s="335"/>
      <c r="P584" s="335"/>
      <c r="Q584" s="139">
        <f t="shared" si="491"/>
        <v>0</v>
      </c>
    </row>
    <row r="585" spans="1:17" ht="12.75" hidden="1" customHeight="1">
      <c r="A585" s="299"/>
      <c r="B585" s="983" t="s">
        <v>652</v>
      </c>
      <c r="C585" s="948"/>
      <c r="D585" s="283" t="s">
        <v>653</v>
      </c>
      <c r="E585" s="284">
        <f>SUM(E586:E588)</f>
        <v>0</v>
      </c>
      <c r="F585" s="284">
        <f>SUM(F586:F588)</f>
        <v>0</v>
      </c>
      <c r="G585" s="280">
        <f>SUM(G586:G588)</f>
        <v>0</v>
      </c>
      <c r="H585" s="281" t="s">
        <v>641</v>
      </c>
      <c r="I585" s="298"/>
      <c r="J585" s="298" t="s">
        <v>641</v>
      </c>
      <c r="K585" s="145">
        <f t="shared" si="511"/>
        <v>0</v>
      </c>
      <c r="L585" s="145">
        <f t="shared" si="508"/>
        <v>0</v>
      </c>
      <c r="M585" s="5"/>
      <c r="N585" s="5"/>
      <c r="O585" s="5"/>
      <c r="P585" s="5"/>
      <c r="Q585" s="139">
        <f t="shared" si="491"/>
        <v>0</v>
      </c>
    </row>
    <row r="586" spans="1:17" ht="12.75" hidden="1" customHeight="1">
      <c r="A586" s="336"/>
      <c r="B586" s="337"/>
      <c r="C586" s="338" t="s">
        <v>576</v>
      </c>
      <c r="D586" s="324" t="s">
        <v>654</v>
      </c>
      <c r="E586" s="325"/>
      <c r="F586" s="325"/>
      <c r="G586" s="193">
        <f>SUM(F586,E586)</f>
        <v>0</v>
      </c>
      <c r="H586" s="314" t="s">
        <v>213</v>
      </c>
      <c r="I586" s="329"/>
      <c r="J586" s="330" t="s">
        <v>213</v>
      </c>
      <c r="K586" s="145">
        <f t="shared" si="511"/>
        <v>0</v>
      </c>
      <c r="L586" s="145">
        <f t="shared" si="508"/>
        <v>0</v>
      </c>
      <c r="M586" s="335"/>
      <c r="N586" s="335"/>
      <c r="O586" s="335"/>
      <c r="P586" s="335"/>
      <c r="Q586" s="139">
        <f t="shared" si="491"/>
        <v>0</v>
      </c>
    </row>
    <row r="587" spans="1:17" ht="12.75" hidden="1" customHeight="1">
      <c r="A587" s="336"/>
      <c r="B587" s="337"/>
      <c r="C587" s="338" t="s">
        <v>578</v>
      </c>
      <c r="D587" s="324" t="s">
        <v>655</v>
      </c>
      <c r="E587" s="325"/>
      <c r="F587" s="325"/>
      <c r="G587" s="193">
        <f>SUM(F587,E587)</f>
        <v>0</v>
      </c>
      <c r="H587" s="314" t="s">
        <v>641</v>
      </c>
      <c r="I587" s="329"/>
      <c r="J587" s="330" t="s">
        <v>641</v>
      </c>
      <c r="K587" s="145">
        <f t="shared" si="511"/>
        <v>0</v>
      </c>
      <c r="L587" s="145">
        <f t="shared" si="508"/>
        <v>0</v>
      </c>
      <c r="M587" s="335"/>
      <c r="N587" s="335"/>
      <c r="O587" s="335"/>
      <c r="P587" s="335"/>
      <c r="Q587" s="139">
        <f t="shared" si="491"/>
        <v>0</v>
      </c>
    </row>
    <row r="588" spans="1:17" ht="12.75" hidden="1" customHeight="1">
      <c r="A588" s="321"/>
      <c r="B588" s="322"/>
      <c r="C588" s="323" t="s">
        <v>580</v>
      </c>
      <c r="D588" s="324" t="s">
        <v>656</v>
      </c>
      <c r="E588" s="325"/>
      <c r="F588" s="325"/>
      <c r="G588" s="193">
        <f>SUM(F588,E588)</f>
        <v>0</v>
      </c>
      <c r="H588" s="318" t="s">
        <v>641</v>
      </c>
      <c r="I588" s="332"/>
      <c r="J588" s="333" t="s">
        <v>641</v>
      </c>
      <c r="K588" s="145">
        <f t="shared" si="511"/>
        <v>0</v>
      </c>
      <c r="L588" s="145">
        <f t="shared" si="508"/>
        <v>0</v>
      </c>
      <c r="M588" s="335"/>
      <c r="N588" s="335"/>
      <c r="O588" s="335"/>
      <c r="P588" s="335"/>
      <c r="Q588" s="139">
        <f t="shared" si="491"/>
        <v>0</v>
      </c>
    </row>
    <row r="589" spans="1:17" ht="12.75" hidden="1" customHeight="1">
      <c r="A589" s="299"/>
      <c r="B589" s="983" t="s">
        <v>657</v>
      </c>
      <c r="C589" s="957"/>
      <c r="D589" s="283" t="s">
        <v>658</v>
      </c>
      <c r="E589" s="284">
        <f>SUM(E590:E592)</f>
        <v>0</v>
      </c>
      <c r="F589" s="284">
        <f>SUM(F590:F592)</f>
        <v>0</v>
      </c>
      <c r="G589" s="280">
        <f>SUM(G590:G592)</f>
        <v>0</v>
      </c>
      <c r="H589" s="281" t="s">
        <v>641</v>
      </c>
      <c r="I589" s="298"/>
      <c r="J589" s="298" t="s">
        <v>641</v>
      </c>
      <c r="K589" s="145">
        <f t="shared" si="511"/>
        <v>0</v>
      </c>
      <c r="L589" s="145">
        <f t="shared" si="508"/>
        <v>0</v>
      </c>
      <c r="M589" s="5"/>
      <c r="N589" s="5"/>
      <c r="O589" s="5"/>
      <c r="P589" s="5"/>
      <c r="Q589" s="139">
        <f t="shared" si="491"/>
        <v>0</v>
      </c>
    </row>
    <row r="590" spans="1:17" ht="12.75" hidden="1" customHeight="1">
      <c r="A590" s="336"/>
      <c r="B590" s="337"/>
      <c r="C590" s="338" t="s">
        <v>576</v>
      </c>
      <c r="D590" s="324" t="s">
        <v>659</v>
      </c>
      <c r="E590" s="325"/>
      <c r="F590" s="325"/>
      <c r="G590" s="193">
        <f>SUM(F590,E590)</f>
        <v>0</v>
      </c>
      <c r="H590" s="314" t="s">
        <v>641</v>
      </c>
      <c r="I590" s="329"/>
      <c r="J590" s="330" t="s">
        <v>641</v>
      </c>
      <c r="K590" s="145">
        <f t="shared" si="511"/>
        <v>0</v>
      </c>
      <c r="L590" s="145">
        <f t="shared" si="508"/>
        <v>0</v>
      </c>
      <c r="M590" s="335"/>
      <c r="N590" s="335"/>
      <c r="O590" s="335"/>
      <c r="P590" s="335"/>
      <c r="Q590" s="139">
        <f t="shared" si="491"/>
        <v>0</v>
      </c>
    </row>
    <row r="591" spans="1:17" ht="12.75" hidden="1" customHeight="1">
      <c r="A591" s="336"/>
      <c r="B591" s="337"/>
      <c r="C591" s="338" t="s">
        <v>578</v>
      </c>
      <c r="D591" s="324" t="s">
        <v>660</v>
      </c>
      <c r="E591" s="325"/>
      <c r="F591" s="325"/>
      <c r="G591" s="193">
        <f>SUM(F591,E591)</f>
        <v>0</v>
      </c>
      <c r="H591" s="314" t="s">
        <v>213</v>
      </c>
      <c r="I591" s="329"/>
      <c r="J591" s="330" t="s">
        <v>213</v>
      </c>
      <c r="K591" s="145">
        <f t="shared" si="511"/>
        <v>0</v>
      </c>
      <c r="L591" s="145">
        <f t="shared" si="508"/>
        <v>0</v>
      </c>
      <c r="M591" s="335"/>
      <c r="N591" s="335"/>
      <c r="O591" s="335"/>
      <c r="P591" s="335"/>
      <c r="Q591" s="139">
        <f t="shared" si="491"/>
        <v>0</v>
      </c>
    </row>
    <row r="592" spans="1:17" ht="12.75" hidden="1" customHeight="1">
      <c r="A592" s="321"/>
      <c r="B592" s="322"/>
      <c r="C592" s="323" t="s">
        <v>580</v>
      </c>
      <c r="D592" s="324" t="s">
        <v>661</v>
      </c>
      <c r="E592" s="325"/>
      <c r="F592" s="325"/>
      <c r="G592" s="193">
        <f>SUM(F592,E592)</f>
        <v>0</v>
      </c>
      <c r="H592" s="326" t="s">
        <v>641</v>
      </c>
      <c r="I592" s="332"/>
      <c r="J592" s="334" t="s">
        <v>641</v>
      </c>
      <c r="K592" s="145">
        <f t="shared" si="511"/>
        <v>0</v>
      </c>
      <c r="L592" s="145">
        <f t="shared" si="508"/>
        <v>0</v>
      </c>
      <c r="M592" s="335"/>
      <c r="N592" s="335"/>
      <c r="O592" s="335"/>
      <c r="P592" s="335"/>
      <c r="Q592" s="139">
        <f t="shared" si="491"/>
        <v>0</v>
      </c>
    </row>
    <row r="593" spans="1:17" ht="12.75" hidden="1" customHeight="1">
      <c r="A593" s="299"/>
      <c r="B593" s="983" t="s">
        <v>662</v>
      </c>
      <c r="C593" s="948"/>
      <c r="D593" s="283" t="s">
        <v>663</v>
      </c>
      <c r="E593" s="284">
        <f>SUM(E594:E596)</f>
        <v>0</v>
      </c>
      <c r="F593" s="284">
        <f>SUM(F594:F596)</f>
        <v>0</v>
      </c>
      <c r="G593" s="280">
        <f>SUM(G594:G596)</f>
        <v>0</v>
      </c>
      <c r="H593" s="281" t="s">
        <v>641</v>
      </c>
      <c r="I593" s="298"/>
      <c r="J593" s="298" t="s">
        <v>641</v>
      </c>
      <c r="K593" s="145">
        <f t="shared" si="511"/>
        <v>0</v>
      </c>
      <c r="L593" s="145">
        <f t="shared" si="508"/>
        <v>0</v>
      </c>
      <c r="M593" s="5"/>
      <c r="N593" s="5"/>
      <c r="O593" s="5"/>
      <c r="P593" s="5"/>
      <c r="Q593" s="139">
        <f t="shared" si="491"/>
        <v>0</v>
      </c>
    </row>
    <row r="594" spans="1:17" ht="12.75" hidden="1" customHeight="1">
      <c r="A594" s="336"/>
      <c r="B594" s="337"/>
      <c r="C594" s="338" t="s">
        <v>576</v>
      </c>
      <c r="D594" s="324" t="s">
        <v>664</v>
      </c>
      <c r="E594" s="325"/>
      <c r="F594" s="325"/>
      <c r="G594" s="193">
        <f>SUM(F594,E594)</f>
        <v>0</v>
      </c>
      <c r="H594" s="314" t="s">
        <v>213</v>
      </c>
      <c r="I594" s="329"/>
      <c r="J594" s="330" t="s">
        <v>213</v>
      </c>
      <c r="K594" s="145">
        <f t="shared" si="511"/>
        <v>0</v>
      </c>
      <c r="L594" s="145">
        <f t="shared" si="508"/>
        <v>0</v>
      </c>
      <c r="M594" s="335"/>
      <c r="N594" s="335"/>
      <c r="O594" s="335"/>
      <c r="P594" s="335"/>
      <c r="Q594" s="139">
        <f t="shared" si="491"/>
        <v>0</v>
      </c>
    </row>
    <row r="595" spans="1:17" ht="12.75" hidden="1" customHeight="1">
      <c r="A595" s="336"/>
      <c r="B595" s="337"/>
      <c r="C595" s="338" t="s">
        <v>578</v>
      </c>
      <c r="D595" s="324" t="s">
        <v>665</v>
      </c>
      <c r="E595" s="325"/>
      <c r="F595" s="325"/>
      <c r="G595" s="193">
        <f>SUM(F595,E595)</f>
        <v>0</v>
      </c>
      <c r="H595" s="314" t="s">
        <v>641</v>
      </c>
      <c r="I595" s="329"/>
      <c r="J595" s="330" t="s">
        <v>641</v>
      </c>
      <c r="K595" s="145">
        <f t="shared" si="511"/>
        <v>0</v>
      </c>
      <c r="L595" s="145">
        <f t="shared" si="508"/>
        <v>0</v>
      </c>
      <c r="M595" s="335"/>
      <c r="N595" s="335"/>
      <c r="O595" s="335"/>
      <c r="P595" s="335"/>
      <c r="Q595" s="139">
        <f t="shared" si="491"/>
        <v>0</v>
      </c>
    </row>
    <row r="596" spans="1:17" ht="12.75" hidden="1" customHeight="1">
      <c r="A596" s="321"/>
      <c r="B596" s="322"/>
      <c r="C596" s="323" t="s">
        <v>580</v>
      </c>
      <c r="D596" s="324" t="s">
        <v>666</v>
      </c>
      <c r="E596" s="325"/>
      <c r="F596" s="325"/>
      <c r="G596" s="193">
        <f>SUM(F596,E596)</f>
        <v>0</v>
      </c>
      <c r="H596" s="318" t="s">
        <v>641</v>
      </c>
      <c r="I596" s="332"/>
      <c r="J596" s="333" t="s">
        <v>641</v>
      </c>
      <c r="K596" s="145">
        <f t="shared" si="511"/>
        <v>0</v>
      </c>
      <c r="L596" s="145">
        <f t="shared" si="508"/>
        <v>0</v>
      </c>
      <c r="M596" s="335"/>
      <c r="N596" s="335"/>
      <c r="O596" s="335"/>
      <c r="P596" s="335"/>
      <c r="Q596" s="139">
        <f t="shared" si="491"/>
        <v>0</v>
      </c>
    </row>
    <row r="597" spans="1:17" ht="12.75" hidden="1" customHeight="1">
      <c r="A597" s="299"/>
      <c r="B597" s="983" t="s">
        <v>667</v>
      </c>
      <c r="C597" s="948"/>
      <c r="D597" s="283" t="s">
        <v>668</v>
      </c>
      <c r="E597" s="284">
        <f>SUM(E598:E600)</f>
        <v>0</v>
      </c>
      <c r="F597" s="284">
        <f>SUM(F598:F600)</f>
        <v>0</v>
      </c>
      <c r="G597" s="280">
        <f>SUM(G598:G600)</f>
        <v>0</v>
      </c>
      <c r="H597" s="281" t="s">
        <v>641</v>
      </c>
      <c r="I597" s="298"/>
      <c r="J597" s="298" t="s">
        <v>641</v>
      </c>
      <c r="K597" s="145">
        <f t="shared" si="511"/>
        <v>0</v>
      </c>
      <c r="L597" s="145">
        <f t="shared" si="508"/>
        <v>0</v>
      </c>
      <c r="M597" s="5"/>
      <c r="N597" s="5"/>
      <c r="O597" s="5"/>
      <c r="P597" s="5"/>
      <c r="Q597" s="139">
        <f t="shared" si="491"/>
        <v>0</v>
      </c>
    </row>
    <row r="598" spans="1:17" ht="12.75" hidden="1" customHeight="1">
      <c r="A598" s="336"/>
      <c r="B598" s="337"/>
      <c r="C598" s="338" t="s">
        <v>576</v>
      </c>
      <c r="D598" s="324" t="s">
        <v>669</v>
      </c>
      <c r="E598" s="325"/>
      <c r="F598" s="325"/>
      <c r="G598" s="193">
        <f>SUM(F598,E598)</f>
        <v>0</v>
      </c>
      <c r="H598" s="314" t="s">
        <v>641</v>
      </c>
      <c r="I598" s="329"/>
      <c r="J598" s="330" t="s">
        <v>641</v>
      </c>
      <c r="K598" s="145">
        <f t="shared" si="511"/>
        <v>0</v>
      </c>
      <c r="L598" s="145">
        <f t="shared" si="508"/>
        <v>0</v>
      </c>
      <c r="M598" s="335"/>
      <c r="N598" s="335"/>
      <c r="O598" s="335"/>
      <c r="P598" s="335"/>
      <c r="Q598" s="139">
        <f t="shared" si="491"/>
        <v>0</v>
      </c>
    </row>
    <row r="599" spans="1:17" ht="12.75" hidden="1" customHeight="1">
      <c r="A599" s="336"/>
      <c r="B599" s="337"/>
      <c r="C599" s="338" t="s">
        <v>578</v>
      </c>
      <c r="D599" s="324" t="s">
        <v>670</v>
      </c>
      <c r="E599" s="325"/>
      <c r="F599" s="325"/>
      <c r="G599" s="193">
        <f>SUM(F599,E599)</f>
        <v>0</v>
      </c>
      <c r="H599" s="314" t="s">
        <v>213</v>
      </c>
      <c r="I599" s="329"/>
      <c r="J599" s="330" t="s">
        <v>213</v>
      </c>
      <c r="K599" s="145">
        <f t="shared" si="511"/>
        <v>0</v>
      </c>
      <c r="L599" s="145">
        <f t="shared" si="508"/>
        <v>0</v>
      </c>
      <c r="M599" s="335"/>
      <c r="N599" s="335"/>
      <c r="O599" s="335"/>
      <c r="P599" s="335"/>
      <c r="Q599" s="139">
        <f t="shared" si="491"/>
        <v>0</v>
      </c>
    </row>
    <row r="600" spans="1:17" ht="12.75" hidden="1" customHeight="1">
      <c r="A600" s="321"/>
      <c r="B600" s="322"/>
      <c r="C600" s="323" t="s">
        <v>580</v>
      </c>
      <c r="D600" s="324" t="s">
        <v>671</v>
      </c>
      <c r="E600" s="325"/>
      <c r="F600" s="325"/>
      <c r="G600" s="193">
        <f>SUM(F600,E600)</f>
        <v>0</v>
      </c>
      <c r="H600" s="326" t="s">
        <v>641</v>
      </c>
      <c r="I600" s="332"/>
      <c r="J600" s="334" t="s">
        <v>641</v>
      </c>
      <c r="K600" s="145">
        <f t="shared" si="511"/>
        <v>0</v>
      </c>
      <c r="L600" s="145">
        <f t="shared" ref="L600:L631" si="512">IF(G600&lt;&gt;0,G600,0)</f>
        <v>0</v>
      </c>
      <c r="M600" s="335"/>
      <c r="N600" s="335"/>
      <c r="O600" s="335"/>
      <c r="P600" s="335"/>
      <c r="Q600" s="139">
        <f t="shared" ref="Q600:Q639" si="513">E600-G600</f>
        <v>0</v>
      </c>
    </row>
    <row r="601" spans="1:17" ht="12.75" hidden="1" customHeight="1">
      <c r="A601" s="309"/>
      <c r="B601" s="982" t="s">
        <v>672</v>
      </c>
      <c r="C601" s="948"/>
      <c r="D601" s="278" t="s">
        <v>673</v>
      </c>
      <c r="E601" s="279">
        <f>SUM(E602:E604)</f>
        <v>0</v>
      </c>
      <c r="F601" s="279">
        <f>SUM(F602:F604)</f>
        <v>0</v>
      </c>
      <c r="G601" s="288">
        <f>SUM(G602:G604)</f>
        <v>0</v>
      </c>
      <c r="H601" s="281" t="s">
        <v>641</v>
      </c>
      <c r="I601" s="298"/>
      <c r="J601" s="298" t="s">
        <v>641</v>
      </c>
      <c r="K601" s="137">
        <f t="shared" si="511"/>
        <v>0</v>
      </c>
      <c r="L601" s="137">
        <f t="shared" si="512"/>
        <v>0</v>
      </c>
      <c r="M601" s="132"/>
      <c r="N601" s="132"/>
      <c r="O601" s="132"/>
      <c r="P601" s="132"/>
      <c r="Q601" s="139">
        <f t="shared" si="513"/>
        <v>0</v>
      </c>
    </row>
    <row r="602" spans="1:17" ht="12.75" hidden="1" customHeight="1">
      <c r="A602" s="336"/>
      <c r="B602" s="337"/>
      <c r="C602" s="338" t="s">
        <v>576</v>
      </c>
      <c r="D602" s="324" t="s">
        <v>674</v>
      </c>
      <c r="E602" s="325"/>
      <c r="F602" s="325"/>
      <c r="G602" s="193">
        <f>SUM(F602,E602)</f>
        <v>0</v>
      </c>
      <c r="H602" s="314" t="s">
        <v>213</v>
      </c>
      <c r="I602" s="329"/>
      <c r="J602" s="330" t="s">
        <v>213</v>
      </c>
      <c r="K602" s="145">
        <f t="shared" si="511"/>
        <v>0</v>
      </c>
      <c r="L602" s="145">
        <f t="shared" si="512"/>
        <v>0</v>
      </c>
      <c r="M602" s="335"/>
      <c r="N602" s="335"/>
      <c r="O602" s="335"/>
      <c r="P602" s="335"/>
      <c r="Q602" s="139">
        <f t="shared" si="513"/>
        <v>0</v>
      </c>
    </row>
    <row r="603" spans="1:17" ht="12.75" hidden="1" customHeight="1">
      <c r="A603" s="310"/>
      <c r="B603" s="311"/>
      <c r="C603" s="319" t="s">
        <v>578</v>
      </c>
      <c r="D603" s="313" t="s">
        <v>675</v>
      </c>
      <c r="E603" s="320"/>
      <c r="F603" s="320"/>
      <c r="G603" s="201">
        <f>SUM(F603,E603)</f>
        <v>0</v>
      </c>
      <c r="H603" s="314" t="s">
        <v>641</v>
      </c>
      <c r="I603" s="329"/>
      <c r="J603" s="330" t="s">
        <v>641</v>
      </c>
      <c r="K603" s="137">
        <f t="shared" si="511"/>
        <v>0</v>
      </c>
      <c r="L603" s="137">
        <f t="shared" si="512"/>
        <v>0</v>
      </c>
      <c r="M603" s="331"/>
      <c r="N603" s="331"/>
      <c r="O603" s="331"/>
      <c r="P603" s="331"/>
      <c r="Q603" s="139">
        <f t="shared" si="513"/>
        <v>0</v>
      </c>
    </row>
    <row r="604" spans="1:17" ht="12.75" hidden="1" customHeight="1">
      <c r="A604" s="321"/>
      <c r="B604" s="322"/>
      <c r="C604" s="323" t="s">
        <v>580</v>
      </c>
      <c r="D604" s="324" t="s">
        <v>676</v>
      </c>
      <c r="E604" s="339"/>
      <c r="F604" s="339"/>
      <c r="G604" s="193">
        <f>SUM(F604,E604)</f>
        <v>0</v>
      </c>
      <c r="H604" s="318" t="s">
        <v>641</v>
      </c>
      <c r="I604" s="332"/>
      <c r="J604" s="333" t="s">
        <v>641</v>
      </c>
      <c r="K604" s="145">
        <f t="shared" si="511"/>
        <v>0</v>
      </c>
      <c r="L604" s="145">
        <f t="shared" si="512"/>
        <v>0</v>
      </c>
      <c r="M604" s="335"/>
      <c r="N604" s="335"/>
      <c r="O604" s="335"/>
      <c r="P604" s="335"/>
      <c r="Q604" s="139">
        <f t="shared" si="513"/>
        <v>0</v>
      </c>
    </row>
    <row r="605" spans="1:17" ht="25.5" hidden="1" customHeight="1">
      <c r="A605" s="299"/>
      <c r="B605" s="983" t="s">
        <v>677</v>
      </c>
      <c r="C605" s="948"/>
      <c r="D605" s="283" t="s">
        <v>678</v>
      </c>
      <c r="E605" s="284">
        <f>SUM(E609:E611)</f>
        <v>0</v>
      </c>
      <c r="F605" s="284">
        <f>SUM(F609:F611)</f>
        <v>0</v>
      </c>
      <c r="G605" s="280">
        <f>SUM(G609:G611)</f>
        <v>0</v>
      </c>
      <c r="H605" s="281" t="s">
        <v>641</v>
      </c>
      <c r="I605" s="298"/>
      <c r="J605" s="298" t="s">
        <v>641</v>
      </c>
      <c r="K605" s="145">
        <f t="shared" si="511"/>
        <v>0</v>
      </c>
      <c r="L605" s="145">
        <f t="shared" si="512"/>
        <v>0</v>
      </c>
      <c r="M605" s="5"/>
      <c r="N605" s="5"/>
      <c r="O605" s="5"/>
      <c r="P605" s="5"/>
      <c r="Q605" s="139">
        <f t="shared" si="513"/>
        <v>0</v>
      </c>
    </row>
    <row r="606" spans="1:17" ht="12.75" hidden="1" customHeight="1">
      <c r="A606" s="336"/>
      <c r="B606" s="337"/>
      <c r="C606" s="338" t="s">
        <v>576</v>
      </c>
      <c r="D606" s="324" t="s">
        <v>679</v>
      </c>
      <c r="E606" s="325"/>
      <c r="F606" s="325"/>
      <c r="G606" s="193">
        <f>SUM(F606,E606)</f>
        <v>0</v>
      </c>
      <c r="H606" s="314" t="s">
        <v>641</v>
      </c>
      <c r="I606" s="329"/>
      <c r="J606" s="330" t="s">
        <v>641</v>
      </c>
      <c r="K606" s="145">
        <f t="shared" si="511"/>
        <v>0</v>
      </c>
      <c r="L606" s="145">
        <f t="shared" si="512"/>
        <v>0</v>
      </c>
      <c r="M606" s="335"/>
      <c r="N606" s="335"/>
      <c r="O606" s="335"/>
      <c r="P606" s="335"/>
      <c r="Q606" s="139">
        <f t="shared" si="513"/>
        <v>0</v>
      </c>
    </row>
    <row r="607" spans="1:17" ht="12.75" hidden="1" customHeight="1">
      <c r="A607" s="336"/>
      <c r="B607" s="337"/>
      <c r="C607" s="338" t="s">
        <v>578</v>
      </c>
      <c r="D607" s="324" t="s">
        <v>680</v>
      </c>
      <c r="E607" s="325"/>
      <c r="F607" s="325"/>
      <c r="G607" s="193">
        <f>SUM(F607,E607)</f>
        <v>0</v>
      </c>
      <c r="H607" s="314" t="s">
        <v>213</v>
      </c>
      <c r="I607" s="329"/>
      <c r="J607" s="330" t="s">
        <v>213</v>
      </c>
      <c r="K607" s="145">
        <f t="shared" si="511"/>
        <v>0</v>
      </c>
      <c r="L607" s="145">
        <f t="shared" si="512"/>
        <v>0</v>
      </c>
      <c r="M607" s="335"/>
      <c r="N607" s="335"/>
      <c r="O607" s="335"/>
      <c r="P607" s="335"/>
      <c r="Q607" s="139">
        <f t="shared" si="513"/>
        <v>0</v>
      </c>
    </row>
    <row r="608" spans="1:17" ht="12.75" hidden="1" customHeight="1">
      <c r="A608" s="299"/>
      <c r="B608" s="983" t="s">
        <v>681</v>
      </c>
      <c r="C608" s="948"/>
      <c r="D608" s="283" t="s">
        <v>682</v>
      </c>
      <c r="E608" s="284">
        <f>SUM(E609:E611)</f>
        <v>0</v>
      </c>
      <c r="F608" s="284">
        <f>SUM(F609:F611)</f>
        <v>0</v>
      </c>
      <c r="G608" s="280">
        <f>SUM(G609:G611)</f>
        <v>0</v>
      </c>
      <c r="H608" s="281" t="s">
        <v>641</v>
      </c>
      <c r="I608" s="298"/>
      <c r="J608" s="298" t="s">
        <v>641</v>
      </c>
      <c r="K608" s="145">
        <f t="shared" si="511"/>
        <v>0</v>
      </c>
      <c r="L608" s="145">
        <f t="shared" si="512"/>
        <v>0</v>
      </c>
      <c r="M608" s="5"/>
      <c r="N608" s="5"/>
      <c r="O608" s="5"/>
      <c r="P608" s="5"/>
      <c r="Q608" s="139">
        <f t="shared" si="513"/>
        <v>0</v>
      </c>
    </row>
    <row r="609" spans="1:17" ht="12.75" hidden="1" customHeight="1">
      <c r="A609" s="336"/>
      <c r="B609" s="337"/>
      <c r="C609" s="338" t="s">
        <v>576</v>
      </c>
      <c r="D609" s="324" t="s">
        <v>683</v>
      </c>
      <c r="E609" s="325"/>
      <c r="F609" s="325"/>
      <c r="G609" s="193">
        <f>SUM(F609,E609)</f>
        <v>0</v>
      </c>
      <c r="H609" s="340" t="s">
        <v>641</v>
      </c>
      <c r="I609" s="329"/>
      <c r="J609" s="439" t="s">
        <v>641</v>
      </c>
      <c r="K609" s="145">
        <f t="shared" si="511"/>
        <v>0</v>
      </c>
      <c r="L609" s="145">
        <f t="shared" si="512"/>
        <v>0</v>
      </c>
      <c r="M609" s="335"/>
      <c r="N609" s="335"/>
      <c r="O609" s="335"/>
      <c r="P609" s="335"/>
      <c r="Q609" s="139">
        <f t="shared" si="513"/>
        <v>0</v>
      </c>
    </row>
    <row r="610" spans="1:17" ht="12.75" hidden="1" customHeight="1">
      <c r="A610" s="336"/>
      <c r="B610" s="337"/>
      <c r="C610" s="338" t="s">
        <v>578</v>
      </c>
      <c r="D610" s="324" t="s">
        <v>684</v>
      </c>
      <c r="E610" s="325"/>
      <c r="F610" s="325"/>
      <c r="G610" s="193">
        <f>SUM(F610,E610)</f>
        <v>0</v>
      </c>
      <c r="H610" s="314" t="s">
        <v>641</v>
      </c>
      <c r="I610" s="329"/>
      <c r="J610" s="330" t="s">
        <v>641</v>
      </c>
      <c r="K610" s="145">
        <f t="shared" si="511"/>
        <v>0</v>
      </c>
      <c r="L610" s="145">
        <f t="shared" si="512"/>
        <v>0</v>
      </c>
      <c r="M610" s="335"/>
      <c r="N610" s="335"/>
      <c r="O610" s="335"/>
      <c r="P610" s="335"/>
      <c r="Q610" s="139">
        <f t="shared" si="513"/>
        <v>0</v>
      </c>
    </row>
    <row r="611" spans="1:17" s="63" customFormat="1" ht="12.75" hidden="1" customHeight="1">
      <c r="A611" s="341"/>
      <c r="B611" s="342"/>
      <c r="C611" s="343" t="s">
        <v>580</v>
      </c>
      <c r="D611" s="344" t="s">
        <v>685</v>
      </c>
      <c r="E611" s="345"/>
      <c r="F611" s="345"/>
      <c r="G611" s="346">
        <f>SUM(F611,E611)</f>
        <v>0</v>
      </c>
      <c r="H611" s="318" t="s">
        <v>213</v>
      </c>
      <c r="I611" s="332"/>
      <c r="J611" s="333" t="s">
        <v>213</v>
      </c>
      <c r="K611" s="440">
        <f t="shared" si="511"/>
        <v>0</v>
      </c>
      <c r="L611" s="440">
        <f t="shared" si="512"/>
        <v>0</v>
      </c>
      <c r="M611" s="335"/>
      <c r="N611" s="335"/>
      <c r="O611" s="335"/>
      <c r="P611" s="335"/>
      <c r="Q611" s="458">
        <f t="shared" si="513"/>
        <v>0</v>
      </c>
    </row>
    <row r="612" spans="1:17" ht="26.25" hidden="1" customHeight="1">
      <c r="A612" s="984"/>
      <c r="B612" s="948"/>
      <c r="C612" s="957"/>
      <c r="D612" s="347"/>
      <c r="E612" s="348"/>
      <c r="F612" s="348"/>
      <c r="G612" s="193"/>
      <c r="H612" s="349"/>
      <c r="I612" s="441"/>
      <c r="J612" s="441"/>
      <c r="K612" s="145">
        <f t="shared" si="511"/>
        <v>0</v>
      </c>
      <c r="L612" s="145">
        <f t="shared" si="512"/>
        <v>0</v>
      </c>
      <c r="M612" s="5"/>
      <c r="N612" s="5"/>
      <c r="O612" s="5"/>
      <c r="P612" s="5"/>
      <c r="Q612" s="139">
        <f t="shared" si="513"/>
        <v>0</v>
      </c>
    </row>
    <row r="613" spans="1:17" ht="12.75" hidden="1" customHeight="1">
      <c r="A613" s="257"/>
      <c r="B613" s="225"/>
      <c r="C613" s="302"/>
      <c r="D613" s="303"/>
      <c r="E613" s="304"/>
      <c r="F613" s="304"/>
      <c r="G613" s="193"/>
      <c r="H613" s="305"/>
      <c r="I613" s="327"/>
      <c r="J613" s="327"/>
      <c r="K613" s="145">
        <f t="shared" si="511"/>
        <v>0</v>
      </c>
      <c r="L613" s="145">
        <f t="shared" si="512"/>
        <v>0</v>
      </c>
      <c r="M613" s="5"/>
      <c r="N613" s="5"/>
      <c r="O613" s="5"/>
      <c r="P613" s="5"/>
      <c r="Q613" s="139">
        <f t="shared" si="513"/>
        <v>0</v>
      </c>
    </row>
    <row r="614" spans="1:17" ht="12.75" customHeight="1">
      <c r="A614" s="350" t="s">
        <v>730</v>
      </c>
      <c r="B614" s="351"/>
      <c r="C614" s="352"/>
      <c r="D614" s="353"/>
      <c r="E614" s="354">
        <f t="shared" ref="E614:J614" si="514">SUM(E618,E674,E705,E936,E995)</f>
        <v>465592.92000000004</v>
      </c>
      <c r="F614" s="354">
        <f t="shared" si="514"/>
        <v>0</v>
      </c>
      <c r="G614" s="355">
        <f t="shared" si="514"/>
        <v>465592.92000000004</v>
      </c>
      <c r="H614" s="356">
        <f t="shared" si="514"/>
        <v>0</v>
      </c>
      <c r="I614" s="442">
        <f t="shared" si="514"/>
        <v>20073</v>
      </c>
      <c r="J614" s="442">
        <f t="shared" si="514"/>
        <v>0</v>
      </c>
      <c r="K614" s="137">
        <f t="shared" si="511"/>
        <v>931185.84000000008</v>
      </c>
      <c r="L614" s="137">
        <f t="shared" si="512"/>
        <v>465592.92000000004</v>
      </c>
      <c r="M614" s="132"/>
      <c r="N614" s="132">
        <v>378643.1</v>
      </c>
      <c r="O614" s="132"/>
      <c r="P614" s="132"/>
      <c r="Q614" s="139">
        <f t="shared" si="513"/>
        <v>0</v>
      </c>
    </row>
    <row r="615" spans="1:17" ht="12.75" hidden="1" customHeight="1">
      <c r="A615" s="357"/>
      <c r="B615" s="358" t="s">
        <v>731</v>
      </c>
      <c r="C615" s="359"/>
      <c r="D615" s="360"/>
      <c r="E615" s="361"/>
      <c r="F615" s="361"/>
      <c r="G615" s="362"/>
      <c r="H615" s="363"/>
      <c r="I615" s="443"/>
      <c r="J615" s="443"/>
      <c r="K615" s="145">
        <f t="shared" si="511"/>
        <v>0</v>
      </c>
      <c r="L615" s="145">
        <f t="shared" si="512"/>
        <v>0</v>
      </c>
      <c r="M615" s="5"/>
      <c r="N615" s="5"/>
      <c r="O615" s="5"/>
      <c r="P615" s="5"/>
      <c r="Q615" s="139">
        <f t="shared" si="513"/>
        <v>0</v>
      </c>
    </row>
    <row r="616" spans="1:17" ht="12.75" customHeight="1">
      <c r="A616" s="350"/>
      <c r="B616" s="364" t="s">
        <v>732</v>
      </c>
      <c r="C616" s="365"/>
      <c r="D616" s="366"/>
      <c r="E616" s="367">
        <f t="shared" ref="E616:J616" si="515">SUM(E623,E650,E665,E677,E685,E708,E767,E829,E903,E938,E976,E997,E1002,E1041)</f>
        <v>194431.9</v>
      </c>
      <c r="F616" s="367">
        <f t="shared" si="515"/>
        <v>0</v>
      </c>
      <c r="G616" s="355">
        <f t="shared" si="515"/>
        <v>194431.9</v>
      </c>
      <c r="H616" s="368">
        <f t="shared" si="515"/>
        <v>0</v>
      </c>
      <c r="I616" s="444">
        <f t="shared" si="515"/>
        <v>0</v>
      </c>
      <c r="J616" s="444">
        <f t="shared" si="515"/>
        <v>0</v>
      </c>
      <c r="K616" s="137">
        <f t="shared" si="511"/>
        <v>388863.8</v>
      </c>
      <c r="L616" s="137">
        <f t="shared" si="512"/>
        <v>194431.9</v>
      </c>
      <c r="M616" s="132"/>
      <c r="N616" s="132">
        <v>428898.1</v>
      </c>
      <c r="O616" s="132"/>
      <c r="P616" s="132"/>
      <c r="Q616" s="139">
        <f t="shared" si="513"/>
        <v>0</v>
      </c>
    </row>
    <row r="617" spans="1:17" ht="12.75" customHeight="1">
      <c r="A617" s="350"/>
      <c r="B617" s="364" t="s">
        <v>733</v>
      </c>
      <c r="C617" s="365"/>
      <c r="D617" s="366"/>
      <c r="E617" s="367">
        <f>SUM(E629,E651,E678,E686,E709,E768,E830,E904,E939,E998,E1003,E1042,E977,E671)</f>
        <v>271161.02</v>
      </c>
      <c r="F617" s="367">
        <f>SUM(F629,F651,F678,F686,F709,F768,F830,F904,F939,F998,F1003,F1042,F977,F671)</f>
        <v>0</v>
      </c>
      <c r="G617" s="355">
        <f>SUM(G629,G651,G678,G686,G709,G768,G830,G904,G939,G998,G1003,G1042,G977,G671)</f>
        <v>271161.02</v>
      </c>
      <c r="H617" s="368">
        <f>SUM(H629,H651,H678,H686,H709,H768,H830,H904,H939,H998,H1003,H1042,H977)</f>
        <v>0</v>
      </c>
      <c r="I617" s="444">
        <f>SUM(I629,I651,I678,I686,I709,I768,I830,I904,I939,I998,I1003,I1042,I977)</f>
        <v>8530</v>
      </c>
      <c r="J617" s="444">
        <f>SUM(J629,J651,J678,J686,J709,J768,J830,J904,J939,J998,J1003,J1042,J977)</f>
        <v>0</v>
      </c>
      <c r="K617" s="137">
        <f t="shared" si="511"/>
        <v>542322.04</v>
      </c>
      <c r="L617" s="137">
        <f t="shared" si="512"/>
        <v>271161.02</v>
      </c>
      <c r="M617" s="132"/>
      <c r="N617" s="134">
        <f>N614-N616</f>
        <v>-50255</v>
      </c>
      <c r="O617" s="132"/>
      <c r="P617" s="132"/>
      <c r="Q617" s="139">
        <f t="shared" si="513"/>
        <v>0</v>
      </c>
    </row>
    <row r="618" spans="1:17" ht="12.75" customHeight="1">
      <c r="A618" s="350" t="s">
        <v>734</v>
      </c>
      <c r="B618" s="351"/>
      <c r="C618" s="352"/>
      <c r="D618" s="353"/>
      <c r="E618" s="369">
        <f t="shared" ref="E618:J618" si="516">SUM(E619,E648,E663)</f>
        <v>46608.299999999996</v>
      </c>
      <c r="F618" s="369">
        <f t="shared" si="516"/>
        <v>0</v>
      </c>
      <c r="G618" s="370">
        <f t="shared" si="516"/>
        <v>46608.299999999996</v>
      </c>
      <c r="H618" s="356">
        <f t="shared" si="516"/>
        <v>0</v>
      </c>
      <c r="I618" s="442">
        <f t="shared" si="516"/>
        <v>0</v>
      </c>
      <c r="J618" s="442">
        <f t="shared" si="516"/>
        <v>0</v>
      </c>
      <c r="K618" s="137">
        <f t="shared" si="511"/>
        <v>93216.599999999991</v>
      </c>
      <c r="L618" s="137">
        <f t="shared" si="512"/>
        <v>46608.299999999996</v>
      </c>
      <c r="M618" s="132"/>
      <c r="N618" s="132">
        <v>3800</v>
      </c>
      <c r="O618" s="132"/>
      <c r="P618" s="132"/>
      <c r="Q618" s="139">
        <f t="shared" si="513"/>
        <v>0</v>
      </c>
    </row>
    <row r="619" spans="1:17" ht="12.75" customHeight="1">
      <c r="A619" s="350" t="s">
        <v>735</v>
      </c>
      <c r="B619" s="351"/>
      <c r="C619" s="352"/>
      <c r="D619" s="353"/>
      <c r="E619" s="369">
        <f>SUM(E620)</f>
        <v>41227.599999999999</v>
      </c>
      <c r="F619" s="369">
        <f>SUM(F620)</f>
        <v>0</v>
      </c>
      <c r="G619" s="370">
        <f t="shared" ref="G619:J620" si="517">SUM(G620)</f>
        <v>41227.599999999999</v>
      </c>
      <c r="H619" s="356">
        <f t="shared" si="517"/>
        <v>0</v>
      </c>
      <c r="I619" s="442">
        <f t="shared" si="517"/>
        <v>0</v>
      </c>
      <c r="J619" s="442">
        <f t="shared" si="517"/>
        <v>0</v>
      </c>
      <c r="K619" s="137">
        <f t="shared" si="511"/>
        <v>82455.199999999997</v>
      </c>
      <c r="L619" s="137">
        <f t="shared" si="512"/>
        <v>41227.599999999999</v>
      </c>
      <c r="M619" s="132"/>
      <c r="N619" s="134">
        <f>N617+N618</f>
        <v>-46455</v>
      </c>
      <c r="O619" s="132"/>
      <c r="P619" s="132"/>
      <c r="Q619" s="139">
        <f t="shared" si="513"/>
        <v>0</v>
      </c>
    </row>
    <row r="620" spans="1:17" ht="12.75" customHeight="1">
      <c r="A620" s="371" t="s">
        <v>736</v>
      </c>
      <c r="B620" s="372"/>
      <c r="C620" s="373"/>
      <c r="D620" s="374"/>
      <c r="E620" s="375">
        <f>SUM(E621)</f>
        <v>41227.599999999999</v>
      </c>
      <c r="F620" s="375">
        <f>SUM(F621)</f>
        <v>0</v>
      </c>
      <c r="G620" s="376">
        <f t="shared" si="517"/>
        <v>41227.599999999999</v>
      </c>
      <c r="H620" s="377">
        <f t="shared" si="517"/>
        <v>0</v>
      </c>
      <c r="I620" s="445">
        <f t="shared" si="517"/>
        <v>0</v>
      </c>
      <c r="J620" s="445">
        <f t="shared" si="517"/>
        <v>0</v>
      </c>
      <c r="K620" s="137">
        <f t="shared" si="511"/>
        <v>82455.199999999997</v>
      </c>
      <c r="L620" s="137">
        <f t="shared" si="512"/>
        <v>41227.599999999999</v>
      </c>
      <c r="M620" s="132"/>
      <c r="N620" s="132"/>
      <c r="O620" s="132"/>
      <c r="P620" s="132"/>
      <c r="Q620" s="139">
        <f t="shared" si="513"/>
        <v>0</v>
      </c>
    </row>
    <row r="621" spans="1:17" ht="12.75" customHeight="1">
      <c r="A621" s="378" t="s">
        <v>737</v>
      </c>
      <c r="B621" s="379"/>
      <c r="C621" s="380"/>
      <c r="D621" s="381">
        <v>51020103</v>
      </c>
      <c r="E621" s="382">
        <f>SUM(E623,E629)</f>
        <v>41227.599999999999</v>
      </c>
      <c r="F621" s="382">
        <f>SUM(F623,F629)</f>
        <v>0</v>
      </c>
      <c r="G621" s="383">
        <f>SUM(G623,G629)</f>
        <v>41227.599999999999</v>
      </c>
      <c r="H621" s="384">
        <f t="shared" ref="H621:J621" si="518">SUM(H623,H629)</f>
        <v>0</v>
      </c>
      <c r="I621" s="446">
        <f t="shared" si="518"/>
        <v>0</v>
      </c>
      <c r="J621" s="446">
        <f t="shared" si="518"/>
        <v>0</v>
      </c>
      <c r="K621" s="137">
        <f t="shared" si="511"/>
        <v>82455.199999999997</v>
      </c>
      <c r="L621" s="137">
        <f t="shared" si="512"/>
        <v>41227.599999999999</v>
      </c>
      <c r="M621" s="132"/>
      <c r="N621" s="132"/>
      <c r="O621" s="132"/>
      <c r="P621" s="132"/>
      <c r="Q621" s="139">
        <f t="shared" si="513"/>
        <v>0</v>
      </c>
    </row>
    <row r="622" spans="1:17" ht="12.75" hidden="1" customHeight="1">
      <c r="A622" s="385" t="s">
        <v>731</v>
      </c>
      <c r="B622" s="386"/>
      <c r="C622" s="387"/>
      <c r="D622" s="388"/>
      <c r="E622" s="389"/>
      <c r="F622" s="389"/>
      <c r="G622" s="390"/>
      <c r="H622" s="391">
        <f>ROUND(F622*H$7,)</f>
        <v>0</v>
      </c>
      <c r="I622" s="447">
        <f>ROUND(H622*I$7,)</f>
        <v>0</v>
      </c>
      <c r="J622" s="447">
        <f>ROUND(I622*J$7,)</f>
        <v>0</v>
      </c>
      <c r="K622" s="145">
        <f t="shared" si="511"/>
        <v>0</v>
      </c>
      <c r="L622" s="145">
        <f t="shared" si="512"/>
        <v>0</v>
      </c>
      <c r="M622" s="5"/>
      <c r="N622" s="5"/>
      <c r="O622" s="5"/>
      <c r="P622" s="5"/>
      <c r="Q622" s="139">
        <f t="shared" si="513"/>
        <v>0</v>
      </c>
    </row>
    <row r="623" spans="1:17" ht="12.75" customHeight="1">
      <c r="A623" s="392" t="s">
        <v>732</v>
      </c>
      <c r="B623" s="386"/>
      <c r="C623" s="387"/>
      <c r="D623" s="395"/>
      <c r="E623" s="396">
        <f>E624+E626+E627+E628+E641</f>
        <v>25720.1</v>
      </c>
      <c r="F623" s="396">
        <f t="shared" ref="F623:G623" si="519">F624+F626+F627+F628+F641</f>
        <v>0</v>
      </c>
      <c r="G623" s="397">
        <f t="shared" si="519"/>
        <v>25720.1</v>
      </c>
      <c r="H623" s="398">
        <f>SUM(H624,H646)</f>
        <v>0</v>
      </c>
      <c r="I623" s="448">
        <f>SUM(I624,I646)</f>
        <v>0</v>
      </c>
      <c r="J623" s="448">
        <f>SUM(J624,J646)</f>
        <v>0</v>
      </c>
      <c r="K623" s="137">
        <f t="shared" si="511"/>
        <v>51440.2</v>
      </c>
      <c r="L623" s="137">
        <f t="shared" si="512"/>
        <v>25720.1</v>
      </c>
      <c r="M623" s="132"/>
      <c r="N623" s="132">
        <v>55800.2</v>
      </c>
      <c r="O623" s="134">
        <f>N623-F620</f>
        <v>55800.2</v>
      </c>
      <c r="P623" s="132"/>
      <c r="Q623" s="139">
        <f t="shared" si="513"/>
        <v>0</v>
      </c>
    </row>
    <row r="624" spans="1:17" ht="15" customHeight="1">
      <c r="A624" s="392"/>
      <c r="B624" s="971" t="s">
        <v>738</v>
      </c>
      <c r="C624" s="979"/>
      <c r="D624" s="395"/>
      <c r="E624" s="396">
        <f>19800+4456.3+1500+3.8+30</f>
        <v>25790.1</v>
      </c>
      <c r="F624" s="396"/>
      <c r="G624" s="397">
        <f>SUM(F624,E624)</f>
        <v>25790.1</v>
      </c>
      <c r="H624" s="399">
        <f>ROUND(F624*H$7,)</f>
        <v>0</v>
      </c>
      <c r="I624" s="449">
        <f>ROUND(F624*I$7,)</f>
        <v>0</v>
      </c>
      <c r="J624" s="449">
        <f>ROUND(F624*J$7,)</f>
        <v>0</v>
      </c>
      <c r="K624" s="137">
        <f t="shared" si="511"/>
        <v>51580.2</v>
      </c>
      <c r="L624" s="137">
        <f t="shared" si="512"/>
        <v>25790.1</v>
      </c>
      <c r="M624" s="450">
        <v>1.1000000000000001</v>
      </c>
      <c r="N624" s="132">
        <v>1250</v>
      </c>
      <c r="O624" s="132">
        <f>N624*1.25</f>
        <v>1562.5</v>
      </c>
      <c r="P624" s="132">
        <f>O624*11</f>
        <v>17187.5</v>
      </c>
      <c r="Q624" s="139">
        <f t="shared" si="513"/>
        <v>0</v>
      </c>
    </row>
    <row r="625" spans="1:17" s="64" customFormat="1" ht="12.75" customHeight="1">
      <c r="A625" s="400"/>
      <c r="B625" s="401" t="s">
        <v>739</v>
      </c>
      <c r="C625" s="402"/>
      <c r="D625" s="403"/>
      <c r="E625" s="404">
        <v>1500</v>
      </c>
      <c r="F625" s="404"/>
      <c r="G625" s="405">
        <f>SUM(F625,E625)</f>
        <v>1500</v>
      </c>
      <c r="H625" s="399"/>
      <c r="I625" s="449"/>
      <c r="J625" s="449"/>
      <c r="K625" s="451">
        <f t="shared" si="511"/>
        <v>3000</v>
      </c>
      <c r="L625" s="451">
        <f t="shared" si="512"/>
        <v>1500</v>
      </c>
      <c r="M625" s="4">
        <v>0.2</v>
      </c>
      <c r="N625" s="4">
        <v>5290</v>
      </c>
      <c r="O625" s="4"/>
      <c r="P625" s="4">
        <f>P624+O624</f>
        <v>18750</v>
      </c>
      <c r="Q625" s="139">
        <f t="shared" si="513"/>
        <v>0</v>
      </c>
    </row>
    <row r="626" spans="1:17" ht="12.75" hidden="1" customHeight="1">
      <c r="A626" s="385"/>
      <c r="B626" s="971" t="s">
        <v>740</v>
      </c>
      <c r="C626" s="957"/>
      <c r="D626" s="388"/>
      <c r="E626" s="406"/>
      <c r="F626" s="406"/>
      <c r="G626" s="390">
        <f>SUM(F626,E626)</f>
        <v>0</v>
      </c>
      <c r="H626" s="407"/>
      <c r="I626" s="452"/>
      <c r="J626" s="452"/>
      <c r="K626" s="145">
        <f t="shared" si="511"/>
        <v>0</v>
      </c>
      <c r="L626" s="145">
        <f t="shared" si="512"/>
        <v>0</v>
      </c>
      <c r="M626" s="5"/>
      <c r="N626" s="5"/>
      <c r="O626" s="5"/>
      <c r="P626" s="5"/>
      <c r="Q626" s="139">
        <f t="shared" si="513"/>
        <v>0</v>
      </c>
    </row>
    <row r="627" spans="1:17" ht="26.25" hidden="1" customHeight="1">
      <c r="A627" s="385"/>
      <c r="B627" s="971" t="s">
        <v>741</v>
      </c>
      <c r="C627" s="957"/>
      <c r="D627" s="388"/>
      <c r="E627" s="406"/>
      <c r="F627" s="406"/>
      <c r="G627" s="390">
        <f>SUM(F627,E627)</f>
        <v>0</v>
      </c>
      <c r="H627" s="407"/>
      <c r="I627" s="452"/>
      <c r="J627" s="452"/>
      <c r="K627" s="145"/>
      <c r="L627" s="145">
        <f t="shared" si="512"/>
        <v>0</v>
      </c>
      <c r="M627" s="5"/>
      <c r="N627" s="5"/>
      <c r="O627" s="5"/>
      <c r="P627" s="5"/>
      <c r="Q627" s="139">
        <f t="shared" si="513"/>
        <v>0</v>
      </c>
    </row>
    <row r="628" spans="1:17" ht="12.75" customHeight="1">
      <c r="A628" s="392"/>
      <c r="B628" s="971" t="s">
        <v>742</v>
      </c>
      <c r="C628" s="979"/>
      <c r="D628" s="395"/>
      <c r="E628" s="200">
        <v>-70</v>
      </c>
      <c r="F628" s="200"/>
      <c r="G628" s="397">
        <f>SUM(F628,E628)</f>
        <v>-70</v>
      </c>
      <c r="H628" s="399"/>
      <c r="I628" s="449"/>
      <c r="J628" s="449"/>
      <c r="K628" s="137">
        <f>SUM(E628:G628)</f>
        <v>-140</v>
      </c>
      <c r="L628" s="137">
        <f t="shared" si="512"/>
        <v>-70</v>
      </c>
      <c r="M628" s="132"/>
      <c r="N628" s="132"/>
      <c r="O628" s="132"/>
      <c r="P628" s="132">
        <v>18000</v>
      </c>
      <c r="Q628" s="139">
        <f t="shared" si="513"/>
        <v>0</v>
      </c>
    </row>
    <row r="629" spans="1:17" ht="12.75" customHeight="1">
      <c r="A629" s="392" t="s">
        <v>733</v>
      </c>
      <c r="B629" s="386"/>
      <c r="C629" s="387"/>
      <c r="D629" s="395"/>
      <c r="E629" s="408">
        <f>SUM(E631,E635,E636,E637:E638,E642,)</f>
        <v>15507.5</v>
      </c>
      <c r="F629" s="408">
        <f>SUM(F631,F635,F636,F637:F638,F642,)</f>
        <v>0</v>
      </c>
      <c r="G629" s="397">
        <f>SUM(G631,G635,G636,G637:G638,G642)</f>
        <v>15507.5</v>
      </c>
      <c r="H629" s="409">
        <f>SUM(H631:H643,H647)</f>
        <v>0</v>
      </c>
      <c r="I629" s="453">
        <f>SUM(I631:I643,I647)</f>
        <v>0</v>
      </c>
      <c r="J629" s="453">
        <f>SUM(J631:J643,J647)</f>
        <v>0</v>
      </c>
      <c r="K629" s="137">
        <f>SUM(E629:G629)</f>
        <v>31015</v>
      </c>
      <c r="L629" s="137">
        <f t="shared" si="512"/>
        <v>15507.5</v>
      </c>
      <c r="M629" s="132"/>
      <c r="N629" s="132"/>
      <c r="O629" s="132"/>
      <c r="P629" s="132"/>
      <c r="Q629" s="139">
        <f t="shared" si="513"/>
        <v>0</v>
      </c>
    </row>
    <row r="630" spans="1:17" ht="12.75" hidden="1" customHeight="1">
      <c r="A630" s="385"/>
      <c r="B630" s="410" t="s">
        <v>743</v>
      </c>
      <c r="C630" s="387"/>
      <c r="D630" s="388"/>
      <c r="E630" s="389"/>
      <c r="F630" s="389"/>
      <c r="G630" s="390"/>
      <c r="H630" s="391"/>
      <c r="I630" s="447"/>
      <c r="J630" s="447"/>
      <c r="K630" s="145">
        <f>SUM(E630:G630)</f>
        <v>0</v>
      </c>
      <c r="L630" s="145">
        <f t="shared" si="512"/>
        <v>0</v>
      </c>
      <c r="M630" s="5"/>
      <c r="N630" s="5"/>
      <c r="O630" s="5"/>
      <c r="P630" s="5"/>
      <c r="Q630" s="139">
        <f t="shared" si="513"/>
        <v>0</v>
      </c>
    </row>
    <row r="631" spans="1:17" ht="12.75" customHeight="1">
      <c r="A631" s="392"/>
      <c r="B631" s="410" t="s">
        <v>744</v>
      </c>
      <c r="C631" s="387"/>
      <c r="D631" s="395"/>
      <c r="E631" s="396">
        <f>100.8+E633</f>
        <v>350.5</v>
      </c>
      <c r="F631" s="396"/>
      <c r="G631" s="397">
        <f t="shared" ref="G631:G639" si="520">SUM(F631,E631)</f>
        <v>350.5</v>
      </c>
      <c r="H631" s="399"/>
      <c r="I631" s="449"/>
      <c r="J631" s="449"/>
      <c r="K631" s="137">
        <f>SUM(E631:G631)</f>
        <v>701</v>
      </c>
      <c r="L631" s="137">
        <f t="shared" si="512"/>
        <v>350.5</v>
      </c>
      <c r="M631" s="132"/>
      <c r="N631" s="132"/>
      <c r="O631" s="132"/>
      <c r="P631" s="132"/>
      <c r="Q631" s="139">
        <f t="shared" si="513"/>
        <v>0</v>
      </c>
    </row>
    <row r="632" spans="1:17" ht="12.75" hidden="1" customHeight="1">
      <c r="A632" s="392"/>
      <c r="B632" s="683"/>
      <c r="C632" s="633" t="s">
        <v>731</v>
      </c>
      <c r="D632" s="395"/>
      <c r="E632" s="396"/>
      <c r="F632" s="396"/>
      <c r="G632" s="397"/>
      <c r="H632" s="399"/>
      <c r="I632" s="449"/>
      <c r="J632" s="449"/>
      <c r="K632" s="137">
        <f t="shared" ref="K632:K633" si="521">SUM(E632:G632)</f>
        <v>0</v>
      </c>
      <c r="L632" s="137">
        <f t="shared" ref="L632:L633" si="522">IF(G632&lt;&gt;0,G632,0)</f>
        <v>0</v>
      </c>
      <c r="M632" s="132"/>
      <c r="N632" s="132"/>
      <c r="O632" s="132"/>
      <c r="P632" s="132"/>
      <c r="Q632" s="139">
        <f t="shared" ref="Q632:Q633" si="523">E632-G632</f>
        <v>0</v>
      </c>
    </row>
    <row r="633" spans="1:17" ht="30.95" customHeight="1">
      <c r="A633" s="385"/>
      <c r="B633" s="502"/>
      <c r="C633" s="808" t="s">
        <v>750</v>
      </c>
      <c r="D633" s="388"/>
      <c r="E633" s="396">
        <v>249.7</v>
      </c>
      <c r="F633" s="415"/>
      <c r="G633" s="397">
        <f t="shared" si="520"/>
        <v>249.7</v>
      </c>
      <c r="H633" s="399"/>
      <c r="I633" s="449"/>
      <c r="J633" s="449"/>
      <c r="K633" s="137">
        <f t="shared" si="521"/>
        <v>499.4</v>
      </c>
      <c r="L633" s="137">
        <f t="shared" si="522"/>
        <v>249.7</v>
      </c>
      <c r="M633" s="132"/>
      <c r="N633" s="132"/>
      <c r="O633" s="132"/>
      <c r="P633" s="132"/>
      <c r="Q633" s="139">
        <f t="shared" si="523"/>
        <v>0</v>
      </c>
    </row>
    <row r="634" spans="1:17" ht="12.75" hidden="1" customHeight="1">
      <c r="A634" s="385"/>
      <c r="B634" s="411" t="s">
        <v>745</v>
      </c>
      <c r="C634" s="412"/>
      <c r="D634" s="403"/>
      <c r="E634" s="406"/>
      <c r="F634" s="406"/>
      <c r="G634" s="390">
        <f t="shared" si="520"/>
        <v>0</v>
      </c>
      <c r="H634" s="399"/>
      <c r="I634" s="449"/>
      <c r="J634" s="449"/>
      <c r="K634" s="145">
        <f>SUM(E634:G634)</f>
        <v>0</v>
      </c>
      <c r="L634" s="145">
        <f t="shared" ref="L634:L639" si="524">IF(G634&lt;&gt;0,G634,0)</f>
        <v>0</v>
      </c>
      <c r="M634" s="5"/>
      <c r="N634" s="5"/>
      <c r="O634" s="5"/>
      <c r="P634" s="5"/>
      <c r="Q634" s="139">
        <f t="shared" si="513"/>
        <v>0</v>
      </c>
    </row>
    <row r="635" spans="1:17" ht="38.25" hidden="1" customHeight="1">
      <c r="A635" s="392"/>
      <c r="B635" s="980" t="s">
        <v>746</v>
      </c>
      <c r="C635" s="957"/>
      <c r="D635" s="395"/>
      <c r="E635" s="396">
        <v>0</v>
      </c>
      <c r="F635" s="396">
        <v>0</v>
      </c>
      <c r="G635" s="397">
        <f t="shared" si="520"/>
        <v>0</v>
      </c>
      <c r="H635" s="399"/>
      <c r="I635" s="449"/>
      <c r="J635" s="449"/>
      <c r="K635" s="137"/>
      <c r="L635" s="137">
        <f t="shared" si="524"/>
        <v>0</v>
      </c>
      <c r="M635" s="132"/>
      <c r="N635" s="132"/>
      <c r="O635" s="132"/>
      <c r="P635" s="132"/>
      <c r="Q635" s="139">
        <f t="shared" si="513"/>
        <v>0</v>
      </c>
    </row>
    <row r="636" spans="1:17" ht="65.25" customHeight="1">
      <c r="A636" s="392"/>
      <c r="B636" s="971" t="s">
        <v>747</v>
      </c>
      <c r="C636" s="981"/>
      <c r="D636" s="414"/>
      <c r="E636" s="415">
        <f>1000-E637-E638</f>
        <v>221.79999999999995</v>
      </c>
      <c r="F636" s="396"/>
      <c r="G636" s="390">
        <f t="shared" si="520"/>
        <v>221.79999999999995</v>
      </c>
      <c r="H636" s="399"/>
      <c r="I636" s="449"/>
      <c r="J636" s="449"/>
      <c r="K636" s="145">
        <f>SUM(E636:G636)</f>
        <v>443.59999999999991</v>
      </c>
      <c r="L636" s="145">
        <f t="shared" si="524"/>
        <v>221.79999999999995</v>
      </c>
      <c r="M636" s="5"/>
      <c r="N636" s="5"/>
      <c r="O636" s="5"/>
      <c r="P636" s="5"/>
      <c r="Q636" s="139">
        <f t="shared" si="513"/>
        <v>0</v>
      </c>
    </row>
    <row r="637" spans="1:17" ht="51.95" customHeight="1">
      <c r="A637" s="392"/>
      <c r="B637" s="971" t="s">
        <v>748</v>
      </c>
      <c r="C637" s="979"/>
      <c r="D637" s="414"/>
      <c r="E637" s="396">
        <v>10.7</v>
      </c>
      <c r="F637" s="396">
        <v>0</v>
      </c>
      <c r="G637" s="390">
        <f t="shared" si="520"/>
        <v>10.7</v>
      </c>
      <c r="H637" s="399"/>
      <c r="I637" s="449"/>
      <c r="J637" s="449"/>
      <c r="K637" s="145">
        <f>SUM(E637:G637)</f>
        <v>21.4</v>
      </c>
      <c r="L637" s="145">
        <f t="shared" si="524"/>
        <v>10.7</v>
      </c>
      <c r="M637" s="5"/>
      <c r="N637" s="5"/>
      <c r="O637" s="5"/>
      <c r="P637" s="5"/>
      <c r="Q637" s="139">
        <f t="shared" si="513"/>
        <v>0</v>
      </c>
    </row>
    <row r="638" spans="1:17" ht="12.75">
      <c r="A638" s="392"/>
      <c r="B638" s="971" t="s">
        <v>749</v>
      </c>
      <c r="C638" s="979"/>
      <c r="D638" s="414"/>
      <c r="E638" s="396">
        <f>1374.5-607</f>
        <v>767.5</v>
      </c>
      <c r="F638" s="396"/>
      <c r="G638" s="390">
        <f t="shared" si="520"/>
        <v>767.5</v>
      </c>
      <c r="H638" s="399"/>
      <c r="I638" s="449"/>
      <c r="J638" s="449"/>
      <c r="K638" s="145">
        <f>SUM(E638:G638)</f>
        <v>1535</v>
      </c>
      <c r="L638" s="145">
        <f t="shared" si="524"/>
        <v>767.5</v>
      </c>
      <c r="M638" s="5"/>
      <c r="N638" s="5"/>
      <c r="O638" s="5"/>
      <c r="P638" s="5"/>
      <c r="Q638" s="139">
        <f t="shared" si="513"/>
        <v>0</v>
      </c>
    </row>
    <row r="639" spans="1:17" ht="12.75" hidden="1">
      <c r="A639" s="385"/>
      <c r="B639" s="971" t="s">
        <v>740</v>
      </c>
      <c r="C639" s="957"/>
      <c r="D639" s="388"/>
      <c r="E639" s="415"/>
      <c r="F639" s="415"/>
      <c r="G639" s="390">
        <f t="shared" si="520"/>
        <v>0</v>
      </c>
      <c r="H639" s="399"/>
      <c r="I639" s="449"/>
      <c r="J639" s="449"/>
      <c r="K639" s="145">
        <f>SUM(E639:G639)</f>
        <v>0</v>
      </c>
      <c r="L639" s="145">
        <f t="shared" si="524"/>
        <v>0</v>
      </c>
      <c r="M639" s="5"/>
      <c r="N639" s="5"/>
      <c r="O639" s="5"/>
      <c r="P639" s="5"/>
      <c r="Q639" s="139">
        <f t="shared" si="513"/>
        <v>0</v>
      </c>
    </row>
    <row r="640" spans="1:17" s="2" customFormat="1" ht="27.75" customHeight="1">
      <c r="A640" s="416"/>
      <c r="B640" s="958" t="s">
        <v>751</v>
      </c>
      <c r="C640" s="970"/>
      <c r="D640" s="418"/>
      <c r="E640" s="419">
        <f>E641+E642</f>
        <v>14157</v>
      </c>
      <c r="F640" s="419">
        <f>F641+F642</f>
        <v>0</v>
      </c>
      <c r="G640" s="420">
        <f>SUM(F640,E640)</f>
        <v>14157</v>
      </c>
      <c r="H640" s="399"/>
      <c r="I640" s="449"/>
      <c r="J640" s="449"/>
      <c r="K640" s="454">
        <f t="shared" ref="K640:K833" si="525">SUM(E640:G640)</f>
        <v>28314</v>
      </c>
      <c r="L640" s="454">
        <f t="shared" ref="L640:L795" si="526">IF(G640&lt;&gt;0,G640,0)</f>
        <v>14157</v>
      </c>
      <c r="M640" s="169"/>
      <c r="N640" s="169"/>
      <c r="O640" s="169"/>
      <c r="P640" s="169"/>
      <c r="Q640" s="139">
        <f t="shared" ref="Q640:Q665" si="527">E640-G640</f>
        <v>0</v>
      </c>
    </row>
    <row r="641" spans="1:17" ht="12.75" hidden="1">
      <c r="A641" s="392"/>
      <c r="B641" s="394"/>
      <c r="C641" s="421" t="s">
        <v>752</v>
      </c>
      <c r="D641" s="414"/>
      <c r="E641" s="396"/>
      <c r="F641" s="396"/>
      <c r="G641" s="397">
        <f>E641+F641</f>
        <v>0</v>
      </c>
      <c r="H641" s="399"/>
      <c r="I641" s="449"/>
      <c r="J641" s="449"/>
      <c r="K641" s="137">
        <f t="shared" ref="K641:K642" si="528">SUM(E641:G641)</f>
        <v>0</v>
      </c>
      <c r="L641" s="137">
        <f t="shared" si="526"/>
        <v>0</v>
      </c>
      <c r="M641" s="132"/>
      <c r="N641" s="132"/>
      <c r="O641" s="132"/>
      <c r="P641" s="132"/>
      <c r="Q641" s="139">
        <f t="shared" si="527"/>
        <v>0</v>
      </c>
    </row>
    <row r="642" spans="1:17" ht="12.75">
      <c r="A642" s="392"/>
      <c r="B642" s="394"/>
      <c r="C642" s="421" t="s">
        <v>753</v>
      </c>
      <c r="D642" s="414"/>
      <c r="E642" s="396">
        <f>14157</f>
        <v>14157</v>
      </c>
      <c r="F642" s="396"/>
      <c r="G642" s="397">
        <f>E642+F642</f>
        <v>14157</v>
      </c>
      <c r="H642" s="399"/>
      <c r="I642" s="449"/>
      <c r="J642" s="449"/>
      <c r="K642" s="137">
        <f t="shared" si="528"/>
        <v>28314</v>
      </c>
      <c r="L642" s="137">
        <f t="shared" si="526"/>
        <v>14157</v>
      </c>
      <c r="M642" s="132"/>
      <c r="N642" s="132"/>
      <c r="O642" s="132"/>
      <c r="P642" s="132"/>
      <c r="Q642" s="139">
        <f t="shared" si="527"/>
        <v>0</v>
      </c>
    </row>
    <row r="643" spans="1:17" ht="12.75" hidden="1" customHeight="1">
      <c r="A643" s="385"/>
      <c r="B643" s="971" t="s">
        <v>742</v>
      </c>
      <c r="C643" s="957"/>
      <c r="D643" s="388"/>
      <c r="E643" s="415"/>
      <c r="F643" s="415"/>
      <c r="G643" s="390">
        <f>SUM(F643,E643)</f>
        <v>0</v>
      </c>
      <c r="H643" s="399"/>
      <c r="I643" s="449"/>
      <c r="J643" s="449"/>
      <c r="K643" s="145">
        <f t="shared" si="525"/>
        <v>0</v>
      </c>
      <c r="L643" s="145">
        <f t="shared" si="526"/>
        <v>0</v>
      </c>
      <c r="M643" s="5"/>
      <c r="N643" s="5"/>
      <c r="O643" s="5"/>
      <c r="P643" s="5"/>
      <c r="Q643" s="139">
        <f t="shared" si="527"/>
        <v>0</v>
      </c>
    </row>
    <row r="644" spans="1:17" ht="12.75" hidden="1" customHeight="1">
      <c r="A644" s="385"/>
      <c r="B644" s="972" t="s">
        <v>754</v>
      </c>
      <c r="C644" s="948"/>
      <c r="D644" s="422"/>
      <c r="E644" s="423"/>
      <c r="F644" s="423"/>
      <c r="G644" s="390"/>
      <c r="H644" s="424"/>
      <c r="I644" s="455"/>
      <c r="J644" s="455"/>
      <c r="K644" s="145">
        <f t="shared" si="525"/>
        <v>0</v>
      </c>
      <c r="L644" s="145">
        <f t="shared" si="526"/>
        <v>0</v>
      </c>
      <c r="M644" s="5"/>
      <c r="N644" s="5"/>
      <c r="O644" s="5"/>
      <c r="P644" s="5"/>
      <c r="Q644" s="139">
        <f t="shared" si="527"/>
        <v>0</v>
      </c>
    </row>
    <row r="645" spans="1:17" ht="12.75" hidden="1" customHeight="1">
      <c r="A645" s="425" t="s">
        <v>742</v>
      </c>
      <c r="B645" s="426"/>
      <c r="C645" s="427"/>
      <c r="D645" s="428"/>
      <c r="E645" s="429">
        <f t="shared" ref="E645:F645" si="529">SUM(E646:E647)</f>
        <v>0</v>
      </c>
      <c r="F645" s="429">
        <f t="shared" si="529"/>
        <v>0</v>
      </c>
      <c r="G645" s="430">
        <f t="shared" ref="G645:J645" si="530">SUM(G646:G647)</f>
        <v>0</v>
      </c>
      <c r="H645" s="431">
        <f t="shared" si="530"/>
        <v>0</v>
      </c>
      <c r="I645" s="456">
        <f t="shared" si="530"/>
        <v>0</v>
      </c>
      <c r="J645" s="456">
        <f t="shared" si="530"/>
        <v>0</v>
      </c>
      <c r="K645" s="145">
        <f t="shared" si="525"/>
        <v>0</v>
      </c>
      <c r="L645" s="145">
        <f t="shared" si="526"/>
        <v>0</v>
      </c>
      <c r="M645" s="5"/>
      <c r="N645" s="5"/>
      <c r="O645" s="5"/>
      <c r="P645" s="5"/>
      <c r="Q645" s="139">
        <f t="shared" si="527"/>
        <v>0</v>
      </c>
    </row>
    <row r="646" spans="1:17" ht="12.75" hidden="1" customHeight="1">
      <c r="A646" s="385"/>
      <c r="B646" s="386"/>
      <c r="C646" s="387" t="s">
        <v>732</v>
      </c>
      <c r="D646" s="388"/>
      <c r="E646" s="406"/>
      <c r="F646" s="406"/>
      <c r="G646" s="390">
        <f>SUM(F646,E646)</f>
        <v>0</v>
      </c>
      <c r="H646" s="399"/>
      <c r="I646" s="449"/>
      <c r="J646" s="449"/>
      <c r="K646" s="145">
        <f t="shared" si="525"/>
        <v>0</v>
      </c>
      <c r="L646" s="145">
        <f t="shared" si="526"/>
        <v>0</v>
      </c>
      <c r="M646" s="5"/>
      <c r="N646" s="5"/>
      <c r="O646" s="5"/>
      <c r="P646" s="5"/>
      <c r="Q646" s="139">
        <f t="shared" si="527"/>
        <v>0</v>
      </c>
    </row>
    <row r="647" spans="1:17" ht="12.75" hidden="1" customHeight="1">
      <c r="A647" s="385"/>
      <c r="B647" s="386"/>
      <c r="C647" s="387" t="s">
        <v>733</v>
      </c>
      <c r="D647" s="388"/>
      <c r="E647" s="406"/>
      <c r="F647" s="406"/>
      <c r="G647" s="390">
        <f>SUM(F647,E647)</f>
        <v>0</v>
      </c>
      <c r="H647" s="399"/>
      <c r="I647" s="449"/>
      <c r="J647" s="449"/>
      <c r="K647" s="145">
        <f t="shared" si="525"/>
        <v>0</v>
      </c>
      <c r="L647" s="145">
        <f t="shared" si="526"/>
        <v>0</v>
      </c>
      <c r="M647" s="5"/>
      <c r="N647" s="5"/>
      <c r="O647" s="5"/>
      <c r="P647" s="5"/>
      <c r="Q647" s="139">
        <f t="shared" si="527"/>
        <v>0</v>
      </c>
    </row>
    <row r="648" spans="1:17" ht="12.75" customHeight="1">
      <c r="A648" s="350" t="s">
        <v>755</v>
      </c>
      <c r="B648" s="351"/>
      <c r="C648" s="352"/>
      <c r="D648" s="353"/>
      <c r="E648" s="369">
        <f t="shared" ref="E648:F648" si="531">SUM(E652,E657,E660)</f>
        <v>2700</v>
      </c>
      <c r="F648" s="369">
        <f t="shared" si="531"/>
        <v>0</v>
      </c>
      <c r="G648" s="370">
        <f t="shared" ref="G648:J648" si="532">SUM(G652,G657,G660)</f>
        <v>2700</v>
      </c>
      <c r="H648" s="356">
        <f t="shared" si="532"/>
        <v>0</v>
      </c>
      <c r="I648" s="442">
        <f t="shared" si="532"/>
        <v>0</v>
      </c>
      <c r="J648" s="442">
        <f t="shared" si="532"/>
        <v>0</v>
      </c>
      <c r="K648" s="137">
        <f t="shared" si="525"/>
        <v>5400</v>
      </c>
      <c r="L648" s="137">
        <f t="shared" si="526"/>
        <v>2700</v>
      </c>
      <c r="M648" s="132"/>
      <c r="N648" s="132"/>
      <c r="O648" s="132"/>
      <c r="P648" s="132"/>
      <c r="Q648" s="139">
        <f t="shared" si="527"/>
        <v>0</v>
      </c>
    </row>
    <row r="649" spans="1:17" ht="12.75" customHeight="1">
      <c r="A649" s="432"/>
      <c r="B649" s="433" t="s">
        <v>756</v>
      </c>
      <c r="C649" s="434"/>
      <c r="D649" s="435"/>
      <c r="E649" s="436">
        <f t="shared" ref="E649:F649" si="533">SUM(E651,E650)</f>
        <v>2700</v>
      </c>
      <c r="F649" s="436">
        <f t="shared" si="533"/>
        <v>0</v>
      </c>
      <c r="G649" s="437">
        <f t="shared" ref="G649:J649" si="534">SUM(G651,G650)</f>
        <v>2700</v>
      </c>
      <c r="H649" s="438">
        <f t="shared" si="534"/>
        <v>0</v>
      </c>
      <c r="I649" s="457">
        <f t="shared" si="534"/>
        <v>0</v>
      </c>
      <c r="J649" s="457">
        <f t="shared" si="534"/>
        <v>0</v>
      </c>
      <c r="K649" s="137">
        <f t="shared" si="525"/>
        <v>5400</v>
      </c>
      <c r="L649" s="137">
        <f t="shared" si="526"/>
        <v>2700</v>
      </c>
      <c r="M649" s="132"/>
      <c r="N649" s="132"/>
      <c r="O649" s="132"/>
      <c r="P649" s="132"/>
      <c r="Q649" s="139">
        <f t="shared" si="527"/>
        <v>0</v>
      </c>
    </row>
    <row r="650" spans="1:17" ht="12.75" customHeight="1">
      <c r="A650" s="432"/>
      <c r="B650" s="433" t="s">
        <v>732</v>
      </c>
      <c r="C650" s="434"/>
      <c r="D650" s="435"/>
      <c r="E650" s="436">
        <f t="shared" ref="E650:F651" si="535">SUM(E655,E658,E661)</f>
        <v>2700</v>
      </c>
      <c r="F650" s="436">
        <f t="shared" si="535"/>
        <v>0</v>
      </c>
      <c r="G650" s="437">
        <f t="shared" ref="G650:J651" si="536">SUM(G655,G658,G661)</f>
        <v>2700</v>
      </c>
      <c r="H650" s="438">
        <f t="shared" si="536"/>
        <v>0</v>
      </c>
      <c r="I650" s="457">
        <f t="shared" si="536"/>
        <v>0</v>
      </c>
      <c r="J650" s="457">
        <f t="shared" si="536"/>
        <v>0</v>
      </c>
      <c r="K650" s="137">
        <f t="shared" si="525"/>
        <v>5400</v>
      </c>
      <c r="L650" s="137">
        <f t="shared" si="526"/>
        <v>2700</v>
      </c>
      <c r="M650" s="132"/>
      <c r="N650" s="132"/>
      <c r="O650" s="132"/>
      <c r="P650" s="132"/>
      <c r="Q650" s="139">
        <f t="shared" si="527"/>
        <v>0</v>
      </c>
    </row>
    <row r="651" spans="1:17" ht="12.75" hidden="1" customHeight="1">
      <c r="A651" s="459"/>
      <c r="B651" s="460" t="s">
        <v>733</v>
      </c>
      <c r="C651" s="461"/>
      <c r="D651" s="462"/>
      <c r="E651" s="463">
        <f t="shared" si="535"/>
        <v>0</v>
      </c>
      <c r="F651" s="463">
        <f t="shared" si="535"/>
        <v>0</v>
      </c>
      <c r="G651" s="464">
        <f t="shared" si="536"/>
        <v>0</v>
      </c>
      <c r="H651" s="465">
        <f t="shared" si="536"/>
        <v>0</v>
      </c>
      <c r="I651" s="529">
        <f t="shared" si="536"/>
        <v>0</v>
      </c>
      <c r="J651" s="529">
        <f t="shared" si="536"/>
        <v>0</v>
      </c>
      <c r="K651" s="145">
        <f t="shared" si="525"/>
        <v>0</v>
      </c>
      <c r="L651" s="145">
        <f t="shared" si="526"/>
        <v>0</v>
      </c>
      <c r="M651" s="5"/>
      <c r="N651" s="5"/>
      <c r="O651" s="5"/>
      <c r="P651" s="5"/>
      <c r="Q651" s="139">
        <f t="shared" si="527"/>
        <v>0</v>
      </c>
    </row>
    <row r="652" spans="1:17" ht="12.75" hidden="1" customHeight="1">
      <c r="A652" s="466" t="s">
        <v>757</v>
      </c>
      <c r="B652" s="467"/>
      <c r="C652" s="468"/>
      <c r="D652" s="469" t="s">
        <v>758</v>
      </c>
      <c r="E652" s="429">
        <f t="shared" ref="E652:F652" si="537">SUM(E655:E656)</f>
        <v>0</v>
      </c>
      <c r="F652" s="429">
        <f t="shared" si="537"/>
        <v>0</v>
      </c>
      <c r="G652" s="430">
        <f t="shared" ref="G652:J652" si="538">SUM(G655:G656)</f>
        <v>0</v>
      </c>
      <c r="H652" s="470">
        <f t="shared" si="538"/>
        <v>0</v>
      </c>
      <c r="I652" s="530">
        <f t="shared" si="538"/>
        <v>0</v>
      </c>
      <c r="J652" s="530">
        <f t="shared" si="538"/>
        <v>0</v>
      </c>
      <c r="K652" s="145">
        <f t="shared" si="525"/>
        <v>0</v>
      </c>
      <c r="L652" s="145">
        <f t="shared" si="526"/>
        <v>0</v>
      </c>
      <c r="M652" s="5"/>
      <c r="N652" s="5"/>
      <c r="O652" s="5"/>
      <c r="P652" s="5"/>
      <c r="Q652" s="139">
        <f t="shared" si="527"/>
        <v>0</v>
      </c>
    </row>
    <row r="653" spans="1:17" ht="12.75" hidden="1" customHeight="1">
      <c r="A653" s="385"/>
      <c r="B653" s="386"/>
      <c r="C653" s="471" t="s">
        <v>759</v>
      </c>
      <c r="D653" s="403"/>
      <c r="E653" s="472"/>
      <c r="F653" s="472"/>
      <c r="G653" s="390">
        <f>SUM(F653,E653)</f>
        <v>0</v>
      </c>
      <c r="H653" s="145">
        <v>-176</v>
      </c>
      <c r="I653" s="145">
        <v>-88</v>
      </c>
      <c r="J653" s="5"/>
      <c r="K653" s="145">
        <f t="shared" si="525"/>
        <v>0</v>
      </c>
      <c r="L653" s="145">
        <f t="shared" si="526"/>
        <v>0</v>
      </c>
      <c r="M653" s="5"/>
      <c r="N653" s="5"/>
      <c r="O653" s="5"/>
      <c r="P653" s="5"/>
      <c r="Q653" s="139">
        <f t="shared" si="527"/>
        <v>0</v>
      </c>
    </row>
    <row r="654" spans="1:17" ht="12.75" hidden="1" customHeight="1">
      <c r="A654" s="385"/>
      <c r="B654" s="386"/>
      <c r="C654" s="473" t="s">
        <v>760</v>
      </c>
      <c r="D654" s="403"/>
      <c r="E654" s="474"/>
      <c r="F654" s="474"/>
      <c r="G654" s="390">
        <f>SUM(F654,E654)</f>
        <v>0</v>
      </c>
      <c r="H654" s="145">
        <v>-176</v>
      </c>
      <c r="I654" s="145">
        <v>-88</v>
      </c>
      <c r="J654" s="5"/>
      <c r="K654" s="145">
        <f t="shared" si="525"/>
        <v>0</v>
      </c>
      <c r="L654" s="145">
        <f t="shared" si="526"/>
        <v>0</v>
      </c>
      <c r="M654" s="5"/>
      <c r="N654" s="5"/>
      <c r="O654" s="5"/>
      <c r="P654" s="5"/>
      <c r="Q654" s="139">
        <f t="shared" si="527"/>
        <v>0</v>
      </c>
    </row>
    <row r="655" spans="1:17" ht="12.75" hidden="1" customHeight="1">
      <c r="A655" s="385"/>
      <c r="B655" s="386"/>
      <c r="C655" s="387" t="s">
        <v>732</v>
      </c>
      <c r="D655" s="403"/>
      <c r="E655" s="192"/>
      <c r="F655" s="192"/>
      <c r="G655" s="390">
        <f>SUM(F655,E655)</f>
        <v>0</v>
      </c>
      <c r="H655" s="202">
        <f>ROUND(F655*H$7,)</f>
        <v>0</v>
      </c>
      <c r="I655" s="210">
        <f>ROUND(F655*I$7,)</f>
        <v>0</v>
      </c>
      <c r="J655" s="210">
        <f>ROUND(F655*J$7,)</f>
        <v>0</v>
      </c>
      <c r="K655" s="145">
        <f t="shared" si="525"/>
        <v>0</v>
      </c>
      <c r="L655" s="145">
        <f t="shared" si="526"/>
        <v>0</v>
      </c>
      <c r="M655" s="5"/>
      <c r="N655" s="5"/>
      <c r="O655" s="5"/>
      <c r="P655" s="5"/>
      <c r="Q655" s="139">
        <f t="shared" si="527"/>
        <v>0</v>
      </c>
    </row>
    <row r="656" spans="1:17" ht="12.75" hidden="1" customHeight="1">
      <c r="A656" s="385"/>
      <c r="B656" s="386"/>
      <c r="C656" s="387" t="s">
        <v>733</v>
      </c>
      <c r="D656" s="388"/>
      <c r="E656" s="389"/>
      <c r="F656" s="389"/>
      <c r="G656" s="390"/>
      <c r="H656" s="391">
        <f>ROUND(F656*H$7,)</f>
        <v>0</v>
      </c>
      <c r="I656" s="447">
        <f>ROUND(H656*I$7,)</f>
        <v>0</v>
      </c>
      <c r="J656" s="447">
        <f>ROUND(I656*J$7,)</f>
        <v>0</v>
      </c>
      <c r="K656" s="145">
        <f t="shared" si="525"/>
        <v>0</v>
      </c>
      <c r="L656" s="145">
        <f t="shared" si="526"/>
        <v>0</v>
      </c>
      <c r="M656" s="5"/>
      <c r="N656" s="5"/>
      <c r="O656" s="5"/>
      <c r="P656" s="5"/>
      <c r="Q656" s="139">
        <f t="shared" si="527"/>
        <v>0</v>
      </c>
    </row>
    <row r="657" spans="1:17" ht="12.75" customHeight="1">
      <c r="A657" s="475" t="s">
        <v>761</v>
      </c>
      <c r="B657" s="476"/>
      <c r="C657" s="477"/>
      <c r="D657" s="374">
        <v>540210</v>
      </c>
      <c r="E657" s="375">
        <f t="shared" ref="E657:F657" si="539">SUM(E658:E659)</f>
        <v>2700</v>
      </c>
      <c r="F657" s="375">
        <f t="shared" si="539"/>
        <v>0</v>
      </c>
      <c r="G657" s="376">
        <f t="shared" ref="G657" si="540">SUM(G658:G659)</f>
        <v>2700</v>
      </c>
      <c r="H657" s="478">
        <f t="shared" ref="H657:J657" si="541">SUM(H658:H659)</f>
        <v>0</v>
      </c>
      <c r="I657" s="531">
        <f t="shared" si="541"/>
        <v>0</v>
      </c>
      <c r="J657" s="531">
        <f t="shared" si="541"/>
        <v>0</v>
      </c>
      <c r="K657" s="137">
        <f t="shared" si="525"/>
        <v>5400</v>
      </c>
      <c r="L657" s="137">
        <f t="shared" si="526"/>
        <v>2700</v>
      </c>
      <c r="M657" s="132"/>
      <c r="N657" s="132"/>
      <c r="O657" s="132"/>
      <c r="P657" s="132"/>
      <c r="Q657" s="139">
        <f t="shared" si="527"/>
        <v>0</v>
      </c>
    </row>
    <row r="658" spans="1:17" ht="15" customHeight="1">
      <c r="A658" s="392"/>
      <c r="B658" s="393"/>
      <c r="C658" s="394" t="s">
        <v>732</v>
      </c>
      <c r="D658" s="395"/>
      <c r="E658" s="200">
        <v>2700</v>
      </c>
      <c r="F658" s="200"/>
      <c r="G658" s="397">
        <f>SUM(F658,E658)</f>
        <v>2700</v>
      </c>
      <c r="H658" s="202">
        <f>ROUND(F658*H$7,)</f>
        <v>0</v>
      </c>
      <c r="I658" s="210">
        <f>ROUND(F658*I$7,)</f>
        <v>0</v>
      </c>
      <c r="J658" s="210">
        <f>ROUND(F658*J$7,)</f>
        <v>0</v>
      </c>
      <c r="K658" s="137">
        <f t="shared" si="525"/>
        <v>5400</v>
      </c>
      <c r="L658" s="137">
        <f t="shared" si="526"/>
        <v>2700</v>
      </c>
      <c r="M658" s="450">
        <v>1.1000000000000001</v>
      </c>
      <c r="N658" s="132"/>
      <c r="O658" s="132"/>
      <c r="P658" s="132"/>
      <c r="Q658" s="139">
        <f t="shared" si="527"/>
        <v>0</v>
      </c>
    </row>
    <row r="659" spans="1:17" ht="12.75" hidden="1" customHeight="1">
      <c r="A659" s="385"/>
      <c r="B659" s="386"/>
      <c r="C659" s="387" t="s">
        <v>733</v>
      </c>
      <c r="D659" s="403"/>
      <c r="E659" s="406"/>
      <c r="F659" s="406"/>
      <c r="G659" s="390">
        <f>SUM(F659,E659)</f>
        <v>0</v>
      </c>
      <c r="H659" s="391">
        <f>ROUND(F659*H$7,)</f>
        <v>0</v>
      </c>
      <c r="I659" s="447">
        <f>ROUND(H659*I$7,)</f>
        <v>0</v>
      </c>
      <c r="J659" s="447">
        <f>ROUND(I659*J$7,)</f>
        <v>0</v>
      </c>
      <c r="K659" s="145">
        <f t="shared" si="525"/>
        <v>0</v>
      </c>
      <c r="L659" s="145">
        <f t="shared" si="526"/>
        <v>0</v>
      </c>
      <c r="M659" s="5"/>
      <c r="N659" s="5"/>
      <c r="O659" s="5"/>
      <c r="P659" s="5"/>
      <c r="Q659" s="139">
        <f t="shared" si="527"/>
        <v>0</v>
      </c>
    </row>
    <row r="660" spans="1:17" ht="12.75" hidden="1" customHeight="1">
      <c r="A660" s="479" t="s">
        <v>762</v>
      </c>
      <c r="B660" s="480"/>
      <c r="C660" s="481"/>
      <c r="D660" s="482"/>
      <c r="E660" s="483">
        <f t="shared" ref="E660:F660" si="542">SUM(E661:E662)</f>
        <v>0</v>
      </c>
      <c r="F660" s="483">
        <f t="shared" si="542"/>
        <v>0</v>
      </c>
      <c r="G660" s="484">
        <f t="shared" ref="G660:J660" si="543">SUM(G661:G662)</f>
        <v>0</v>
      </c>
      <c r="H660" s="377">
        <f t="shared" si="543"/>
        <v>0</v>
      </c>
      <c r="I660" s="445">
        <f t="shared" si="543"/>
        <v>0</v>
      </c>
      <c r="J660" s="445">
        <f t="shared" si="543"/>
        <v>0</v>
      </c>
      <c r="K660" s="145">
        <f t="shared" si="525"/>
        <v>0</v>
      </c>
      <c r="L660" s="145">
        <f t="shared" si="526"/>
        <v>0</v>
      </c>
      <c r="M660" s="5"/>
      <c r="N660" s="5"/>
      <c r="O660" s="5"/>
      <c r="P660" s="5"/>
      <c r="Q660" s="139">
        <f t="shared" si="527"/>
        <v>0</v>
      </c>
    </row>
    <row r="661" spans="1:17" ht="12.75" hidden="1" customHeight="1">
      <c r="A661" s="385"/>
      <c r="B661" s="386"/>
      <c r="C661" s="387" t="s">
        <v>732</v>
      </c>
      <c r="D661" s="388"/>
      <c r="E661" s="406"/>
      <c r="F661" s="406"/>
      <c r="G661" s="390">
        <f>SUM(F661,E661)</f>
        <v>0</v>
      </c>
      <c r="H661" s="399">
        <f>ROUND(F661*H$7,)</f>
        <v>0</v>
      </c>
      <c r="I661" s="449">
        <f>ROUND(H661*I$7,)</f>
        <v>0</v>
      </c>
      <c r="J661" s="449">
        <f>ROUND(I661*J$7,)</f>
        <v>0</v>
      </c>
      <c r="K661" s="145">
        <f t="shared" si="525"/>
        <v>0</v>
      </c>
      <c r="L661" s="145">
        <f t="shared" si="526"/>
        <v>0</v>
      </c>
      <c r="M661" s="5"/>
      <c r="N661" s="5"/>
      <c r="O661" s="5"/>
      <c r="P661" s="5"/>
      <c r="Q661" s="139">
        <f t="shared" si="527"/>
        <v>0</v>
      </c>
    </row>
    <row r="662" spans="1:17" ht="12.75" hidden="1" customHeight="1">
      <c r="A662" s="385"/>
      <c r="B662" s="386"/>
      <c r="C662" s="387" t="s">
        <v>733</v>
      </c>
      <c r="D662" s="388"/>
      <c r="E662" s="389"/>
      <c r="F662" s="389"/>
      <c r="G662" s="390"/>
      <c r="H662" s="391">
        <f>ROUND(F662*H$7,)</f>
        <v>0</v>
      </c>
      <c r="I662" s="447">
        <f>ROUND(H662*I$7,)</f>
        <v>0</v>
      </c>
      <c r="J662" s="447">
        <f>ROUND(I662*J$7,)</f>
        <v>0</v>
      </c>
      <c r="K662" s="145">
        <f t="shared" si="525"/>
        <v>0</v>
      </c>
      <c r="L662" s="145">
        <f t="shared" si="526"/>
        <v>0</v>
      </c>
      <c r="M662" s="5"/>
      <c r="N662" s="5"/>
      <c r="O662" s="5"/>
      <c r="P662" s="5"/>
      <c r="Q662" s="139">
        <f t="shared" si="527"/>
        <v>0</v>
      </c>
    </row>
    <row r="663" spans="1:17" ht="12.75" customHeight="1">
      <c r="A663" s="350" t="s">
        <v>763</v>
      </c>
      <c r="B663" s="351"/>
      <c r="C663" s="352"/>
      <c r="D663" s="353"/>
      <c r="E663" s="369">
        <f>SUM(E665,E671)</f>
        <v>2680.7</v>
      </c>
      <c r="F663" s="369">
        <f>SUM(F665,F671)</f>
        <v>0</v>
      </c>
      <c r="G663" s="370">
        <f>SUM(G665,G671)</f>
        <v>2680.7</v>
      </c>
      <c r="H663" s="356">
        <f t="shared" ref="H663:J663" si="544">SUM(H665)</f>
        <v>0</v>
      </c>
      <c r="I663" s="442">
        <f t="shared" si="544"/>
        <v>0</v>
      </c>
      <c r="J663" s="442">
        <f t="shared" si="544"/>
        <v>0</v>
      </c>
      <c r="K663" s="137">
        <f t="shared" si="525"/>
        <v>5361.4</v>
      </c>
      <c r="L663" s="137">
        <f t="shared" si="526"/>
        <v>2680.7</v>
      </c>
      <c r="M663" s="132"/>
      <c r="N663" s="132"/>
      <c r="O663" s="132"/>
      <c r="P663" s="132"/>
      <c r="Q663" s="139">
        <f t="shared" si="527"/>
        <v>0</v>
      </c>
    </row>
    <row r="664" spans="1:17" ht="12.75" hidden="1" customHeight="1">
      <c r="A664" s="485"/>
      <c r="B664" s="486" t="s">
        <v>756</v>
      </c>
      <c r="C664" s="487"/>
      <c r="D664" s="488"/>
      <c r="E664" s="489"/>
      <c r="F664" s="489"/>
      <c r="G664" s="490"/>
      <c r="H664" s="491"/>
      <c r="I664" s="532"/>
      <c r="J664" s="532"/>
      <c r="K664" s="145">
        <f t="shared" si="525"/>
        <v>0</v>
      </c>
      <c r="L664" s="145">
        <f t="shared" si="526"/>
        <v>0</v>
      </c>
      <c r="M664" s="5"/>
      <c r="N664" s="5"/>
      <c r="O664" s="5"/>
      <c r="P664" s="5"/>
      <c r="Q664" s="139">
        <f t="shared" si="527"/>
        <v>0</v>
      </c>
    </row>
    <row r="665" spans="1:17" ht="12.75" customHeight="1">
      <c r="A665" s="432"/>
      <c r="B665" s="433" t="s">
        <v>732</v>
      </c>
      <c r="C665" s="434"/>
      <c r="D665" s="435"/>
      <c r="E665" s="436">
        <f>SUM(E666,E670)</f>
        <v>2680.7</v>
      </c>
      <c r="F665" s="436">
        <f>SUM(F666,F670)</f>
        <v>0</v>
      </c>
      <c r="G665" s="437">
        <f>SUM(G666,G670)</f>
        <v>2680.7</v>
      </c>
      <c r="H665" s="438">
        <f>SUM(H670)</f>
        <v>0</v>
      </c>
      <c r="I665" s="457">
        <f>SUM(I670)</f>
        <v>0</v>
      </c>
      <c r="J665" s="457">
        <f>SUM(J670)</f>
        <v>0</v>
      </c>
      <c r="K665" s="137">
        <f t="shared" si="525"/>
        <v>5361.4</v>
      </c>
      <c r="L665" s="137">
        <f t="shared" si="526"/>
        <v>2680.7</v>
      </c>
      <c r="M665" s="132"/>
      <c r="N665" s="132"/>
      <c r="O665" s="132"/>
      <c r="P665" s="132"/>
      <c r="Q665" s="139">
        <f t="shared" si="527"/>
        <v>0</v>
      </c>
    </row>
    <row r="666" spans="1:17" ht="12.75" customHeight="1">
      <c r="A666" s="492" t="s">
        <v>764</v>
      </c>
      <c r="B666" s="493"/>
      <c r="C666" s="494"/>
      <c r="D666" s="495"/>
      <c r="E666" s="419">
        <f>SUM(E667:E669)</f>
        <v>2680.7</v>
      </c>
      <c r="F666" s="419">
        <f>SUM(F667:F669)</f>
        <v>0</v>
      </c>
      <c r="G666" s="397">
        <f>SUM(G667:G669)</f>
        <v>2680.7</v>
      </c>
      <c r="H666" s="202">
        <f>ROUND(F666*H$7,)</f>
        <v>0</v>
      </c>
      <c r="I666" s="210">
        <f>ROUND(F666*I$7,)</f>
        <v>0</v>
      </c>
      <c r="J666" s="210">
        <f>ROUND(F666*J$7,)</f>
        <v>0</v>
      </c>
      <c r="K666" s="137">
        <f t="shared" si="525"/>
        <v>5361.4</v>
      </c>
      <c r="L666" s="137">
        <f t="shared" si="526"/>
        <v>2680.7</v>
      </c>
      <c r="M666" s="132"/>
      <c r="N666" s="132"/>
      <c r="O666" s="132"/>
      <c r="P666" s="132"/>
      <c r="Q666" s="139">
        <f t="shared" ref="Q666:Q729" si="545">E666-G666</f>
        <v>0</v>
      </c>
    </row>
    <row r="667" spans="1:17" s="65" customFormat="1" ht="12.75" customHeight="1">
      <c r="A667" s="496"/>
      <c r="B667" s="497"/>
      <c r="C667" s="498" t="s">
        <v>765</v>
      </c>
      <c r="D667" s="395"/>
      <c r="E667" s="396">
        <v>1476</v>
      </c>
      <c r="F667" s="396"/>
      <c r="G667" s="499">
        <f t="shared" ref="G667:G670" si="546">SUM(F667,E667)</f>
        <v>1476</v>
      </c>
      <c r="H667" s="202"/>
      <c r="I667" s="210"/>
      <c r="J667" s="210"/>
      <c r="K667" s="137">
        <f t="shared" ref="K667:K669" si="547">SUM(E667:G667)</f>
        <v>2952</v>
      </c>
      <c r="L667" s="137">
        <f t="shared" si="526"/>
        <v>1476</v>
      </c>
      <c r="M667" s="61"/>
      <c r="N667" s="61"/>
      <c r="O667" s="61"/>
      <c r="P667" s="61"/>
      <c r="Q667" s="139">
        <f t="shared" si="545"/>
        <v>0</v>
      </c>
    </row>
    <row r="668" spans="1:17" s="65" customFormat="1" ht="12.75" customHeight="1">
      <c r="A668" s="496"/>
      <c r="B668" s="497"/>
      <c r="C668" s="498" t="s">
        <v>766</v>
      </c>
      <c r="D668" s="395"/>
      <c r="E668" s="396">
        <v>438.5</v>
      </c>
      <c r="F668" s="396"/>
      <c r="G668" s="499">
        <f t="shared" si="546"/>
        <v>438.5</v>
      </c>
      <c r="H668" s="202"/>
      <c r="I668" s="210"/>
      <c r="J668" s="210"/>
      <c r="K668" s="137">
        <f t="shared" ref="K668" si="548">SUM(E668:G668)</f>
        <v>877</v>
      </c>
      <c r="L668" s="137">
        <f t="shared" ref="L668" si="549">IF(G668&lt;&gt;0,G668,0)</f>
        <v>438.5</v>
      </c>
      <c r="M668" s="61"/>
      <c r="N668" s="61"/>
      <c r="O668" s="61"/>
      <c r="P668" s="61"/>
      <c r="Q668" s="139">
        <f t="shared" si="545"/>
        <v>0</v>
      </c>
    </row>
    <row r="669" spans="1:17" s="65" customFormat="1" ht="12.75" customHeight="1">
      <c r="A669" s="496"/>
      <c r="B669" s="497"/>
      <c r="C669" s="498" t="s">
        <v>767</v>
      </c>
      <c r="D669" s="395"/>
      <c r="E669" s="396">
        <v>766.2</v>
      </c>
      <c r="F669" s="396"/>
      <c r="G669" s="499">
        <f t="shared" si="546"/>
        <v>766.2</v>
      </c>
      <c r="H669" s="202"/>
      <c r="I669" s="210"/>
      <c r="J669" s="210"/>
      <c r="K669" s="137">
        <f t="shared" si="547"/>
        <v>1532.4</v>
      </c>
      <c r="L669" s="137">
        <f t="shared" si="526"/>
        <v>766.2</v>
      </c>
      <c r="M669" s="61"/>
      <c r="N669" s="61"/>
      <c r="O669" s="61"/>
      <c r="P669" s="61"/>
      <c r="Q669" s="139">
        <f t="shared" si="545"/>
        <v>0</v>
      </c>
    </row>
    <row r="670" spans="1:17" ht="12.75" hidden="1" customHeight="1">
      <c r="A670" s="500" t="s">
        <v>742</v>
      </c>
      <c r="B670" s="501"/>
      <c r="C670" s="502"/>
      <c r="D670" s="503"/>
      <c r="E670" s="504"/>
      <c r="F670" s="504"/>
      <c r="G670" s="390">
        <f t="shared" si="546"/>
        <v>0</v>
      </c>
      <c r="H670" s="202">
        <f>ROUND(F670*H$7,)</f>
        <v>0</v>
      </c>
      <c r="I670" s="210">
        <f>ROUND(F670*I$7,)</f>
        <v>0</v>
      </c>
      <c r="J670" s="210">
        <f>ROUND(F670*J$7,)</f>
        <v>0</v>
      </c>
      <c r="K670" s="145">
        <f t="shared" si="525"/>
        <v>0</v>
      </c>
      <c r="L670" s="145">
        <f t="shared" si="526"/>
        <v>0</v>
      </c>
      <c r="M670" s="5"/>
      <c r="N670" s="5"/>
      <c r="O670" s="5"/>
      <c r="P670" s="5"/>
      <c r="Q670" s="139">
        <f t="shared" si="545"/>
        <v>0</v>
      </c>
    </row>
    <row r="671" spans="1:17" ht="12.75" hidden="1" customHeight="1">
      <c r="A671" s="505"/>
      <c r="B671" s="506" t="s">
        <v>733</v>
      </c>
      <c r="C671" s="507"/>
      <c r="D671" s="508"/>
      <c r="E671" s="509">
        <f>SUM(E672:E673)</f>
        <v>0</v>
      </c>
      <c r="F671" s="509">
        <f>SUM(F672:F673)</f>
        <v>0</v>
      </c>
      <c r="G671" s="437">
        <f>SUM(G672:G673)</f>
        <v>0</v>
      </c>
      <c r="H671" s="438">
        <f>SUM(H673)</f>
        <v>0</v>
      </c>
      <c r="I671" s="457">
        <f>SUM(I673)</f>
        <v>0</v>
      </c>
      <c r="J671" s="457">
        <f>SUM(J673)</f>
        <v>0</v>
      </c>
      <c r="K671" s="137">
        <f t="shared" si="525"/>
        <v>0</v>
      </c>
      <c r="L671" s="137">
        <f t="shared" si="526"/>
        <v>0</v>
      </c>
      <c r="M671" s="132"/>
      <c r="N671" s="132"/>
      <c r="O671" s="132"/>
      <c r="P671" s="132"/>
      <c r="Q671" s="139">
        <f t="shared" si="545"/>
        <v>0</v>
      </c>
    </row>
    <row r="672" spans="1:17" ht="24.6" hidden="1" customHeight="1">
      <c r="A672" s="973" t="s">
        <v>768</v>
      </c>
      <c r="B672" s="974"/>
      <c r="C672" s="975"/>
      <c r="D672" s="495"/>
      <c r="E672" s="419"/>
      <c r="F672" s="419"/>
      <c r="G672" s="397">
        <f>SUM(F672,E672)</f>
        <v>0</v>
      </c>
      <c r="H672" s="202">
        <f>ROUND(F672*H$7,)</f>
        <v>0</v>
      </c>
      <c r="I672" s="210">
        <f>ROUND(F672*I$7,)</f>
        <v>0</v>
      </c>
      <c r="J672" s="210">
        <f>ROUND(F672*J$7,)</f>
        <v>0</v>
      </c>
      <c r="K672" s="137">
        <f t="shared" si="525"/>
        <v>0</v>
      </c>
      <c r="L672" s="137">
        <f t="shared" ref="L672" si="550">IF(G672&lt;&gt;0,G672,0)</f>
        <v>0</v>
      </c>
      <c r="M672" s="132"/>
      <c r="N672" s="132"/>
      <c r="O672" s="132"/>
      <c r="P672" s="132"/>
      <c r="Q672" s="139">
        <f t="shared" si="545"/>
        <v>0</v>
      </c>
    </row>
    <row r="673" spans="1:17" ht="12.75" hidden="1" customHeight="1">
      <c r="A673" s="500" t="s">
        <v>742</v>
      </c>
      <c r="B673" s="501"/>
      <c r="C673" s="502"/>
      <c r="D673" s="503"/>
      <c r="E673" s="504"/>
      <c r="F673" s="504"/>
      <c r="G673" s="390">
        <f>SUM(F673,E673)</f>
        <v>0</v>
      </c>
      <c r="H673" s="202">
        <f>ROUND(F673*H$7,)</f>
        <v>0</v>
      </c>
      <c r="I673" s="210">
        <f>ROUND(F673*I$7,)</f>
        <v>0</v>
      </c>
      <c r="J673" s="210">
        <f>ROUND(F673*J$7,)</f>
        <v>0</v>
      </c>
      <c r="K673" s="145">
        <f t="shared" si="525"/>
        <v>0</v>
      </c>
      <c r="L673" s="145">
        <f t="shared" si="526"/>
        <v>0</v>
      </c>
      <c r="M673" s="5"/>
      <c r="N673" s="5"/>
      <c r="O673" s="5"/>
      <c r="P673" s="5"/>
      <c r="Q673" s="139">
        <f t="shared" si="545"/>
        <v>0</v>
      </c>
    </row>
    <row r="674" spans="1:17" ht="12.75" customHeight="1">
      <c r="A674" s="350" t="s">
        <v>769</v>
      </c>
      <c r="B674" s="351"/>
      <c r="C674" s="352"/>
      <c r="D674" s="353"/>
      <c r="E674" s="369">
        <f t="shared" ref="E674:F674" si="551">SUM(E675,E683)</f>
        <v>4473.2</v>
      </c>
      <c r="F674" s="369">
        <f t="shared" si="551"/>
        <v>0</v>
      </c>
      <c r="G674" s="370">
        <f t="shared" ref="G674:J674" si="552">SUM(G675,G683)</f>
        <v>4473.2</v>
      </c>
      <c r="H674" s="356">
        <f t="shared" si="552"/>
        <v>0</v>
      </c>
      <c r="I674" s="442">
        <f t="shared" si="552"/>
        <v>0</v>
      </c>
      <c r="J674" s="442">
        <f t="shared" si="552"/>
        <v>0</v>
      </c>
      <c r="K674" s="137">
        <f t="shared" si="525"/>
        <v>8946.4</v>
      </c>
      <c r="L674" s="137">
        <f t="shared" si="526"/>
        <v>4473.2</v>
      </c>
      <c r="M674" s="132"/>
      <c r="N674" s="132"/>
      <c r="O674" s="132"/>
      <c r="P674" s="132"/>
      <c r="Q674" s="139">
        <f t="shared" si="545"/>
        <v>0</v>
      </c>
    </row>
    <row r="675" spans="1:17" ht="12.75" customHeight="1">
      <c r="A675" s="350" t="s">
        <v>770</v>
      </c>
      <c r="B675" s="351"/>
      <c r="C675" s="352"/>
      <c r="D675" s="353"/>
      <c r="E675" s="369">
        <f t="shared" ref="E675:F675" si="553">SUM(E677,E678)</f>
        <v>540</v>
      </c>
      <c r="F675" s="369">
        <f t="shared" si="553"/>
        <v>0</v>
      </c>
      <c r="G675" s="370">
        <f t="shared" ref="G675:J675" si="554">SUM(G677,G678)</f>
        <v>540</v>
      </c>
      <c r="H675" s="356">
        <f t="shared" si="554"/>
        <v>0</v>
      </c>
      <c r="I675" s="442">
        <f t="shared" si="554"/>
        <v>0</v>
      </c>
      <c r="J675" s="442">
        <f t="shared" si="554"/>
        <v>0</v>
      </c>
      <c r="K675" s="137">
        <f t="shared" si="525"/>
        <v>1080</v>
      </c>
      <c r="L675" s="137">
        <f t="shared" si="526"/>
        <v>540</v>
      </c>
      <c r="M675" s="132"/>
      <c r="N675" s="132"/>
      <c r="O675" s="132"/>
      <c r="P675" s="132"/>
      <c r="Q675" s="139">
        <f t="shared" si="545"/>
        <v>0</v>
      </c>
    </row>
    <row r="676" spans="1:17" ht="12.75" hidden="1" customHeight="1">
      <c r="A676" s="485"/>
      <c r="B676" s="486" t="s">
        <v>756</v>
      </c>
      <c r="C676" s="487"/>
      <c r="D676" s="488"/>
      <c r="E676" s="489"/>
      <c r="F676" s="489"/>
      <c r="G676" s="490"/>
      <c r="H676" s="491"/>
      <c r="I676" s="532"/>
      <c r="J676" s="532"/>
      <c r="K676" s="145">
        <f t="shared" si="525"/>
        <v>0</v>
      </c>
      <c r="L676" s="145">
        <f t="shared" si="526"/>
        <v>0</v>
      </c>
      <c r="M676" s="5"/>
      <c r="N676" s="5"/>
      <c r="O676" s="5"/>
      <c r="P676" s="5"/>
      <c r="Q676" s="139">
        <f t="shared" si="545"/>
        <v>0</v>
      </c>
    </row>
    <row r="677" spans="1:17" ht="12.75" customHeight="1">
      <c r="A677" s="432"/>
      <c r="B677" s="433" t="s">
        <v>732</v>
      </c>
      <c r="C677" s="434"/>
      <c r="D677" s="435"/>
      <c r="E677" s="436">
        <f t="shared" ref="E677:F678" si="555">SUM(E681)</f>
        <v>451</v>
      </c>
      <c r="F677" s="436">
        <f t="shared" si="555"/>
        <v>0</v>
      </c>
      <c r="G677" s="437">
        <f t="shared" ref="G677:J678" si="556">SUM(G681)</f>
        <v>451</v>
      </c>
      <c r="H677" s="438">
        <f t="shared" si="556"/>
        <v>0</v>
      </c>
      <c r="I677" s="457">
        <f t="shared" si="556"/>
        <v>0</v>
      </c>
      <c r="J677" s="457">
        <f t="shared" si="556"/>
        <v>0</v>
      </c>
      <c r="K677" s="137">
        <f t="shared" si="525"/>
        <v>902</v>
      </c>
      <c r="L677" s="137">
        <f t="shared" si="526"/>
        <v>451</v>
      </c>
      <c r="M677" s="132"/>
      <c r="N677" s="132"/>
      <c r="O677" s="132"/>
      <c r="P677" s="132"/>
      <c r="Q677" s="139">
        <f t="shared" si="545"/>
        <v>0</v>
      </c>
    </row>
    <row r="678" spans="1:17" ht="12.75" customHeight="1">
      <c r="A678" s="432"/>
      <c r="B678" s="433" t="s">
        <v>733</v>
      </c>
      <c r="C678" s="434"/>
      <c r="D678" s="435"/>
      <c r="E678" s="510">
        <f t="shared" si="555"/>
        <v>89</v>
      </c>
      <c r="F678" s="510">
        <f t="shared" si="555"/>
        <v>0</v>
      </c>
      <c r="G678" s="511">
        <f t="shared" si="556"/>
        <v>89</v>
      </c>
      <c r="H678" s="465">
        <f t="shared" si="556"/>
        <v>0</v>
      </c>
      <c r="I678" s="529">
        <f t="shared" si="556"/>
        <v>0</v>
      </c>
      <c r="J678" s="529">
        <f t="shared" si="556"/>
        <v>0</v>
      </c>
      <c r="K678" s="137">
        <f t="shared" si="525"/>
        <v>178</v>
      </c>
      <c r="L678" s="137">
        <f t="shared" si="526"/>
        <v>89</v>
      </c>
      <c r="M678" s="132"/>
      <c r="N678" s="132"/>
      <c r="O678" s="132"/>
      <c r="P678" s="132"/>
      <c r="Q678" s="139">
        <f t="shared" si="545"/>
        <v>0</v>
      </c>
    </row>
    <row r="679" spans="1:17" ht="12.75" customHeight="1">
      <c r="A679" s="371" t="s">
        <v>771</v>
      </c>
      <c r="B679" s="372"/>
      <c r="C679" s="373"/>
      <c r="D679" s="374">
        <v>600202</v>
      </c>
      <c r="E679" s="375">
        <f t="shared" ref="E679:F679" si="557">SUM(E680)</f>
        <v>540</v>
      </c>
      <c r="F679" s="375">
        <f t="shared" si="557"/>
        <v>0</v>
      </c>
      <c r="G679" s="376">
        <f t="shared" ref="G679:J679" si="558">SUM(G680)</f>
        <v>540</v>
      </c>
      <c r="H679" s="377">
        <f t="shared" si="558"/>
        <v>0</v>
      </c>
      <c r="I679" s="445">
        <f t="shared" si="558"/>
        <v>0</v>
      </c>
      <c r="J679" s="445">
        <f t="shared" si="558"/>
        <v>0</v>
      </c>
      <c r="K679" s="137">
        <f t="shared" si="525"/>
        <v>1080</v>
      </c>
      <c r="L679" s="137">
        <f t="shared" si="526"/>
        <v>540</v>
      </c>
      <c r="M679" s="132"/>
      <c r="N679" s="132"/>
      <c r="O679" s="132"/>
      <c r="P679" s="132"/>
      <c r="Q679" s="139">
        <f t="shared" si="545"/>
        <v>0</v>
      </c>
    </row>
    <row r="680" spans="1:17" ht="12.75" customHeight="1">
      <c r="A680" s="378" t="s">
        <v>772</v>
      </c>
      <c r="B680" s="379"/>
      <c r="C680" s="380"/>
      <c r="D680" s="381"/>
      <c r="E680" s="382">
        <f t="shared" ref="E680:F680" si="559">SUM(E681:E682)</f>
        <v>540</v>
      </c>
      <c r="F680" s="382">
        <f t="shared" si="559"/>
        <v>0</v>
      </c>
      <c r="G680" s="383">
        <f t="shared" ref="G680" si="560">SUM(G681:G682)</f>
        <v>540</v>
      </c>
      <c r="H680" s="384">
        <f t="shared" ref="H680:J680" si="561">SUM(H681:H682)</f>
        <v>0</v>
      </c>
      <c r="I680" s="446">
        <f t="shared" si="561"/>
        <v>0</v>
      </c>
      <c r="J680" s="446">
        <f t="shared" si="561"/>
        <v>0</v>
      </c>
      <c r="K680" s="137">
        <f t="shared" si="525"/>
        <v>1080</v>
      </c>
      <c r="L680" s="137">
        <f t="shared" si="526"/>
        <v>540</v>
      </c>
      <c r="M680" s="132"/>
      <c r="N680" s="132"/>
      <c r="O680" s="132"/>
      <c r="P680" s="132"/>
      <c r="Q680" s="139">
        <f t="shared" si="545"/>
        <v>0</v>
      </c>
    </row>
    <row r="681" spans="1:17" ht="15" customHeight="1">
      <c r="A681" s="392"/>
      <c r="B681" s="393"/>
      <c r="C681" s="394" t="s">
        <v>732</v>
      </c>
      <c r="D681" s="395"/>
      <c r="E681" s="200">
        <v>451</v>
      </c>
      <c r="F681" s="200"/>
      <c r="G681" s="397">
        <f>SUM(F681,E681)</f>
        <v>451</v>
      </c>
      <c r="H681" s="202">
        <f>ROUND(F681*H$7,)</f>
        <v>0</v>
      </c>
      <c r="I681" s="210">
        <f>ROUND(F681*I$7,)</f>
        <v>0</v>
      </c>
      <c r="J681" s="210">
        <f>ROUND(F681*J$7,)</f>
        <v>0</v>
      </c>
      <c r="K681" s="137">
        <f t="shared" si="525"/>
        <v>902</v>
      </c>
      <c r="L681" s="137">
        <f t="shared" si="526"/>
        <v>451</v>
      </c>
      <c r="M681" s="450">
        <v>1.1000000000000001</v>
      </c>
      <c r="N681" s="132"/>
      <c r="O681" s="132"/>
      <c r="P681" s="132"/>
      <c r="Q681" s="139">
        <f t="shared" si="545"/>
        <v>0</v>
      </c>
    </row>
    <row r="682" spans="1:17" ht="12.75" customHeight="1">
      <c r="A682" s="392"/>
      <c r="B682" s="393"/>
      <c r="C682" s="394" t="s">
        <v>733</v>
      </c>
      <c r="D682" s="512"/>
      <c r="E682" s="396">
        <v>89</v>
      </c>
      <c r="F682" s="396"/>
      <c r="G682" s="397">
        <f>SUM(F682,E682)</f>
        <v>89</v>
      </c>
      <c r="H682" s="391"/>
      <c r="I682" s="447"/>
      <c r="J682" s="447"/>
      <c r="K682" s="137">
        <f t="shared" si="525"/>
        <v>178</v>
      </c>
      <c r="L682" s="137">
        <f t="shared" si="526"/>
        <v>89</v>
      </c>
      <c r="M682" s="132"/>
      <c r="N682" s="132"/>
      <c r="O682" s="132"/>
      <c r="P682" s="132"/>
      <c r="Q682" s="139">
        <f t="shared" si="545"/>
        <v>0</v>
      </c>
    </row>
    <row r="683" spans="1:17" ht="12.75" customHeight="1">
      <c r="A683" s="350" t="s">
        <v>773</v>
      </c>
      <c r="B683" s="351"/>
      <c r="C683" s="352"/>
      <c r="D683" s="353"/>
      <c r="E683" s="369">
        <f>SUM(E687,E693,E703)</f>
        <v>3933.2</v>
      </c>
      <c r="F683" s="369">
        <f t="shared" ref="F683" si="562">SUM(F687,F693,F703)</f>
        <v>0</v>
      </c>
      <c r="G683" s="370">
        <f t="shared" ref="G683:J683" si="563">SUM(G687,G693,G703)</f>
        <v>3933.2</v>
      </c>
      <c r="H683" s="356">
        <f t="shared" si="563"/>
        <v>0</v>
      </c>
      <c r="I683" s="442">
        <f t="shared" si="563"/>
        <v>0</v>
      </c>
      <c r="J683" s="442">
        <f t="shared" si="563"/>
        <v>0</v>
      </c>
      <c r="K683" s="137">
        <f t="shared" si="525"/>
        <v>7866.4</v>
      </c>
      <c r="L683" s="137">
        <f t="shared" si="526"/>
        <v>3933.2</v>
      </c>
      <c r="M683" s="132"/>
      <c r="N683" s="132"/>
      <c r="O683" s="132"/>
      <c r="P683" s="132"/>
      <c r="Q683" s="139">
        <f t="shared" si="545"/>
        <v>0</v>
      </c>
    </row>
    <row r="684" spans="1:17" ht="12.75" customHeight="1">
      <c r="A684" s="432"/>
      <c r="B684" s="433" t="s">
        <v>756</v>
      </c>
      <c r="C684" s="434"/>
      <c r="D684" s="435"/>
      <c r="E684" s="436">
        <f t="shared" ref="E684:G684" si="564">SUM(E685:E686)</f>
        <v>3933.2</v>
      </c>
      <c r="F684" s="436">
        <f t="shared" si="564"/>
        <v>0</v>
      </c>
      <c r="G684" s="437">
        <f t="shared" si="564"/>
        <v>3933.2</v>
      </c>
      <c r="H684" s="438">
        <f t="shared" ref="H684:J684" si="565">SUM(H685:H686)</f>
        <v>0</v>
      </c>
      <c r="I684" s="457">
        <f t="shared" si="565"/>
        <v>0</v>
      </c>
      <c r="J684" s="457">
        <f t="shared" si="565"/>
        <v>0</v>
      </c>
      <c r="K684" s="137">
        <f t="shared" si="525"/>
        <v>7866.4</v>
      </c>
      <c r="L684" s="137">
        <f t="shared" si="526"/>
        <v>3933.2</v>
      </c>
      <c r="M684" s="132"/>
      <c r="N684" s="132"/>
      <c r="O684" s="132"/>
      <c r="P684" s="132"/>
      <c r="Q684" s="139">
        <f t="shared" si="545"/>
        <v>0</v>
      </c>
    </row>
    <row r="685" spans="1:17" ht="12.75" customHeight="1">
      <c r="A685" s="432"/>
      <c r="B685" s="433" t="s">
        <v>732</v>
      </c>
      <c r="C685" s="434"/>
      <c r="D685" s="435"/>
      <c r="E685" s="436">
        <f t="shared" ref="E685:F685" si="566">SUM(E689,E695,E698,E701)</f>
        <v>800</v>
      </c>
      <c r="F685" s="436">
        <f t="shared" si="566"/>
        <v>0</v>
      </c>
      <c r="G685" s="437">
        <f t="shared" ref="G685:J685" si="567">SUM(G689,G695,G698,G701)</f>
        <v>800</v>
      </c>
      <c r="H685" s="438">
        <f t="shared" si="567"/>
        <v>0</v>
      </c>
      <c r="I685" s="457">
        <f t="shared" si="567"/>
        <v>0</v>
      </c>
      <c r="J685" s="457">
        <f t="shared" si="567"/>
        <v>0</v>
      </c>
      <c r="K685" s="137">
        <f t="shared" si="525"/>
        <v>1600</v>
      </c>
      <c r="L685" s="137">
        <f t="shared" si="526"/>
        <v>800</v>
      </c>
      <c r="M685" s="132"/>
      <c r="N685" s="132"/>
      <c r="O685" s="132"/>
      <c r="P685" s="132"/>
      <c r="Q685" s="139">
        <f t="shared" si="545"/>
        <v>0</v>
      </c>
    </row>
    <row r="686" spans="1:17" ht="12.75" customHeight="1">
      <c r="A686" s="432"/>
      <c r="B686" s="433" t="s">
        <v>733</v>
      </c>
      <c r="C686" s="434"/>
      <c r="D686" s="435"/>
      <c r="E686" s="436">
        <f t="shared" ref="E686:F686" si="568">SUM(E690,E696,E699,E702,E704)</f>
        <v>3133.2</v>
      </c>
      <c r="F686" s="436">
        <f t="shared" si="568"/>
        <v>0</v>
      </c>
      <c r="G686" s="437">
        <f t="shared" ref="G686:J686" si="569">SUM(G690,G696,G699,G702,G704)</f>
        <v>3133.2</v>
      </c>
      <c r="H686" s="438">
        <f t="shared" si="569"/>
        <v>0</v>
      </c>
      <c r="I686" s="457">
        <f t="shared" si="569"/>
        <v>0</v>
      </c>
      <c r="J686" s="457">
        <f t="shared" si="569"/>
        <v>0</v>
      </c>
      <c r="K686" s="137">
        <f t="shared" si="525"/>
        <v>6266.4</v>
      </c>
      <c r="L686" s="137">
        <f t="shared" si="526"/>
        <v>3133.2</v>
      </c>
      <c r="M686" s="132"/>
      <c r="N686" s="132"/>
      <c r="O686" s="132"/>
      <c r="P686" s="132"/>
      <c r="Q686" s="139">
        <f t="shared" si="545"/>
        <v>0</v>
      </c>
    </row>
    <row r="687" spans="1:17" ht="12.75" customHeight="1">
      <c r="A687" s="513" t="s">
        <v>774</v>
      </c>
      <c r="B687" s="514"/>
      <c r="C687" s="515"/>
      <c r="D687" s="516" t="s">
        <v>775</v>
      </c>
      <c r="E687" s="375">
        <f t="shared" ref="E687:F687" si="570">SUM(E688)</f>
        <v>570</v>
      </c>
      <c r="F687" s="375">
        <f t="shared" si="570"/>
        <v>0</v>
      </c>
      <c r="G687" s="376">
        <f t="shared" ref="G687:J687" si="571">SUM(G688)</f>
        <v>570</v>
      </c>
      <c r="H687" s="377">
        <f t="shared" si="571"/>
        <v>0</v>
      </c>
      <c r="I687" s="445">
        <f t="shared" si="571"/>
        <v>0</v>
      </c>
      <c r="J687" s="445">
        <f t="shared" si="571"/>
        <v>0</v>
      </c>
      <c r="K687" s="137">
        <f t="shared" si="525"/>
        <v>1140</v>
      </c>
      <c r="L687" s="137">
        <f t="shared" si="526"/>
        <v>570</v>
      </c>
      <c r="M687" s="132"/>
      <c r="N687" s="132"/>
      <c r="O687" s="132"/>
      <c r="P687" s="132"/>
      <c r="Q687" s="139">
        <f t="shared" si="545"/>
        <v>0</v>
      </c>
    </row>
    <row r="688" spans="1:17" ht="25.5" customHeight="1">
      <c r="A688" s="976" t="s">
        <v>776</v>
      </c>
      <c r="B688" s="948"/>
      <c r="C688" s="957"/>
      <c r="D688" s="381" t="s">
        <v>777</v>
      </c>
      <c r="E688" s="382">
        <f t="shared" ref="E688:F688" si="572">SUM(E689:E690)</f>
        <v>570</v>
      </c>
      <c r="F688" s="382">
        <f t="shared" si="572"/>
        <v>0</v>
      </c>
      <c r="G688" s="383">
        <f t="shared" ref="G688:J688" si="573">SUM(G689:G690)</f>
        <v>570</v>
      </c>
      <c r="H688" s="384">
        <f t="shared" si="573"/>
        <v>0</v>
      </c>
      <c r="I688" s="446">
        <f t="shared" si="573"/>
        <v>0</v>
      </c>
      <c r="J688" s="446">
        <f t="shared" si="573"/>
        <v>0</v>
      </c>
      <c r="K688" s="137">
        <f t="shared" si="525"/>
        <v>1140</v>
      </c>
      <c r="L688" s="137">
        <f t="shared" si="526"/>
        <v>570</v>
      </c>
      <c r="M688" s="132"/>
      <c r="N688" s="132"/>
      <c r="O688" s="132"/>
      <c r="P688" s="132"/>
      <c r="Q688" s="139">
        <f t="shared" si="545"/>
        <v>0</v>
      </c>
    </row>
    <row r="689" spans="1:17" ht="15" customHeight="1">
      <c r="A689" s="392"/>
      <c r="B689" s="393"/>
      <c r="C689" s="394" t="s">
        <v>732</v>
      </c>
      <c r="D689" s="395"/>
      <c r="E689" s="200">
        <v>500</v>
      </c>
      <c r="F689" s="200"/>
      <c r="G689" s="397">
        <f>SUM(F689,E689)</f>
        <v>500</v>
      </c>
      <c r="H689" s="202">
        <f t="shared" ref="H689:H696" si="574">ROUND(F689*H$7,)</f>
        <v>0</v>
      </c>
      <c r="I689" s="210">
        <f>ROUND(F689*I$7,)</f>
        <v>0</v>
      </c>
      <c r="J689" s="210">
        <f>ROUND(F689*J$7,)</f>
        <v>0</v>
      </c>
      <c r="K689" s="137">
        <f t="shared" si="525"/>
        <v>1000</v>
      </c>
      <c r="L689" s="137">
        <f t="shared" si="526"/>
        <v>500</v>
      </c>
      <c r="M689" s="533">
        <v>1.1000000000000001</v>
      </c>
      <c r="N689" s="132"/>
      <c r="O689" s="132"/>
      <c r="P689" s="132"/>
      <c r="Q689" s="139">
        <f t="shared" si="545"/>
        <v>0</v>
      </c>
    </row>
    <row r="690" spans="1:17" ht="12.75" customHeight="1">
      <c r="A690" s="392"/>
      <c r="B690" s="393"/>
      <c r="C690" s="394" t="s">
        <v>733</v>
      </c>
      <c r="D690" s="395"/>
      <c r="E690" s="396">
        <v>70</v>
      </c>
      <c r="F690" s="396"/>
      <c r="G690" s="397">
        <f>SUM(F690,E690)</f>
        <v>70</v>
      </c>
      <c r="H690" s="399">
        <f t="shared" si="574"/>
        <v>0</v>
      </c>
      <c r="I690" s="449">
        <f t="shared" ref="I690:J696" si="575">ROUND(H690*I$7,)</f>
        <v>0</v>
      </c>
      <c r="J690" s="449">
        <f t="shared" si="575"/>
        <v>0</v>
      </c>
      <c r="K690" s="137">
        <f t="shared" si="525"/>
        <v>140</v>
      </c>
      <c r="L690" s="137">
        <f t="shared" si="526"/>
        <v>70</v>
      </c>
      <c r="M690" s="132"/>
      <c r="N690" s="132"/>
      <c r="O690" s="132"/>
      <c r="P690" s="132"/>
      <c r="Q690" s="139">
        <f t="shared" si="545"/>
        <v>0</v>
      </c>
    </row>
    <row r="691" spans="1:17" ht="12.75" hidden="1" customHeight="1">
      <c r="A691" s="385"/>
      <c r="B691" s="386"/>
      <c r="C691" s="387" t="s">
        <v>731</v>
      </c>
      <c r="D691" s="388"/>
      <c r="E691" s="389"/>
      <c r="F691" s="389"/>
      <c r="G691" s="390"/>
      <c r="H691" s="391">
        <f t="shared" si="574"/>
        <v>0</v>
      </c>
      <c r="I691" s="447">
        <f t="shared" si="575"/>
        <v>0</v>
      </c>
      <c r="J691" s="447">
        <f t="shared" si="575"/>
        <v>0</v>
      </c>
      <c r="K691" s="145">
        <f t="shared" si="525"/>
        <v>0</v>
      </c>
      <c r="L691" s="145">
        <f t="shared" si="526"/>
        <v>0</v>
      </c>
      <c r="M691" s="5"/>
      <c r="N691" s="5"/>
      <c r="O691" s="5"/>
      <c r="P691" s="5"/>
      <c r="Q691" s="139">
        <f t="shared" si="545"/>
        <v>0</v>
      </c>
    </row>
    <row r="692" spans="1:17" ht="38.25" hidden="1" customHeight="1">
      <c r="A692" s="385"/>
      <c r="B692" s="386"/>
      <c r="C692" s="413" t="s">
        <v>778</v>
      </c>
      <c r="D692" s="388"/>
      <c r="E692" s="406"/>
      <c r="F692" s="406"/>
      <c r="G692" s="390">
        <f>SUM(F692,E692)</f>
        <v>0</v>
      </c>
      <c r="H692" s="399">
        <f t="shared" si="574"/>
        <v>0</v>
      </c>
      <c r="I692" s="449">
        <f t="shared" si="575"/>
        <v>0</v>
      </c>
      <c r="J692" s="449">
        <f t="shared" si="575"/>
        <v>0</v>
      </c>
      <c r="K692" s="145">
        <f t="shared" si="525"/>
        <v>0</v>
      </c>
      <c r="L692" s="145">
        <f t="shared" si="526"/>
        <v>0</v>
      </c>
      <c r="M692" s="5"/>
      <c r="N692" s="5"/>
      <c r="O692" s="5"/>
      <c r="P692" s="5"/>
      <c r="Q692" s="139">
        <f t="shared" si="545"/>
        <v>0</v>
      </c>
    </row>
    <row r="693" spans="1:17" ht="12.75" customHeight="1">
      <c r="A693" s="977" t="s">
        <v>779</v>
      </c>
      <c r="B693" s="948"/>
      <c r="C693" s="948"/>
      <c r="D693" s="517"/>
      <c r="E693" s="375">
        <f>SUM(E694,E697,E700)</f>
        <v>3363.2</v>
      </c>
      <c r="F693" s="375">
        <f>SUM(F694,F697,F700)</f>
        <v>0</v>
      </c>
      <c r="G693" s="376">
        <f>SUM(G694,G697,G700)</f>
        <v>3363.2</v>
      </c>
      <c r="H693" s="377">
        <f t="shared" si="574"/>
        <v>0</v>
      </c>
      <c r="I693" s="445">
        <f t="shared" si="575"/>
        <v>0</v>
      </c>
      <c r="J693" s="445">
        <f t="shared" si="575"/>
        <v>0</v>
      </c>
      <c r="K693" s="137">
        <f t="shared" si="525"/>
        <v>6726.4</v>
      </c>
      <c r="L693" s="137">
        <f t="shared" si="526"/>
        <v>3363.2</v>
      </c>
      <c r="M693" s="132"/>
      <c r="N693" s="132"/>
      <c r="O693" s="132"/>
      <c r="P693" s="132"/>
      <c r="Q693" s="139">
        <f t="shared" si="545"/>
        <v>0</v>
      </c>
    </row>
    <row r="694" spans="1:17" ht="12.75" customHeight="1">
      <c r="A694" s="518" t="s">
        <v>780</v>
      </c>
      <c r="B694" s="514"/>
      <c r="C694" s="515"/>
      <c r="D694" s="381" t="s">
        <v>781</v>
      </c>
      <c r="E694" s="519">
        <f>SUM(E695:E696)</f>
        <v>382.7</v>
      </c>
      <c r="F694" s="519">
        <f>SUM(F695:F696)</f>
        <v>0</v>
      </c>
      <c r="G694" s="430">
        <f>SUM(G695:G696)</f>
        <v>382.7</v>
      </c>
      <c r="H694" s="520">
        <f t="shared" si="574"/>
        <v>0</v>
      </c>
      <c r="I694" s="534">
        <f t="shared" si="575"/>
        <v>0</v>
      </c>
      <c r="J694" s="534">
        <f t="shared" si="575"/>
        <v>0</v>
      </c>
      <c r="K694" s="145">
        <f t="shared" si="525"/>
        <v>765.4</v>
      </c>
      <c r="L694" s="145">
        <f t="shared" si="526"/>
        <v>382.7</v>
      </c>
      <c r="M694" s="5"/>
      <c r="N694" s="5"/>
      <c r="O694" s="5"/>
      <c r="P694" s="5"/>
      <c r="Q694" s="139">
        <f t="shared" si="545"/>
        <v>0</v>
      </c>
    </row>
    <row r="695" spans="1:17" ht="12.75" customHeight="1">
      <c r="A695" s="392"/>
      <c r="B695" s="393"/>
      <c r="C695" s="394" t="s">
        <v>732</v>
      </c>
      <c r="D695" s="395"/>
      <c r="E695" s="396">
        <v>300</v>
      </c>
      <c r="F695" s="396"/>
      <c r="G695" s="390">
        <f>SUM(F695,E695)</f>
        <v>300</v>
      </c>
      <c r="H695" s="391">
        <f t="shared" si="574"/>
        <v>0</v>
      </c>
      <c r="I695" s="447">
        <f t="shared" si="575"/>
        <v>0</v>
      </c>
      <c r="J695" s="447">
        <f t="shared" si="575"/>
        <v>0</v>
      </c>
      <c r="K695" s="145">
        <f t="shared" si="525"/>
        <v>600</v>
      </c>
      <c r="L695" s="145">
        <f t="shared" si="526"/>
        <v>300</v>
      </c>
      <c r="M695" s="5" t="s">
        <v>782</v>
      </c>
      <c r="N695" s="5"/>
      <c r="O695" s="5"/>
      <c r="P695" s="5"/>
      <c r="Q695" s="139">
        <f t="shared" si="545"/>
        <v>0</v>
      </c>
    </row>
    <row r="696" spans="1:17" ht="12.75" customHeight="1">
      <c r="A696" s="392"/>
      <c r="B696" s="393"/>
      <c r="C696" s="394" t="s">
        <v>733</v>
      </c>
      <c r="D696" s="414"/>
      <c r="E696" s="396">
        <v>82.7</v>
      </c>
      <c r="F696" s="396"/>
      <c r="G696" s="390">
        <f>SUM(F696,E696)</f>
        <v>82.7</v>
      </c>
      <c r="H696" s="391">
        <f t="shared" si="574"/>
        <v>0</v>
      </c>
      <c r="I696" s="447">
        <f t="shared" si="575"/>
        <v>0</v>
      </c>
      <c r="J696" s="447">
        <f t="shared" si="575"/>
        <v>0</v>
      </c>
      <c r="K696" s="145">
        <f t="shared" si="525"/>
        <v>165.4</v>
      </c>
      <c r="L696" s="145">
        <f t="shared" si="526"/>
        <v>82.7</v>
      </c>
      <c r="M696" s="5"/>
      <c r="N696" s="5"/>
      <c r="O696" s="5"/>
      <c r="P696" s="5"/>
      <c r="Q696" s="139">
        <f t="shared" si="545"/>
        <v>0</v>
      </c>
    </row>
    <row r="697" spans="1:17" ht="25.5" hidden="1" customHeight="1">
      <c r="A697" s="978" t="s">
        <v>783</v>
      </c>
      <c r="B697" s="948"/>
      <c r="C697" s="948"/>
      <c r="D697" s="521"/>
      <c r="E697" s="483">
        <f t="shared" ref="E697:F697" si="576">SUM(E698:E699)</f>
        <v>0</v>
      </c>
      <c r="F697" s="483">
        <f t="shared" si="576"/>
        <v>0</v>
      </c>
      <c r="G697" s="484">
        <f t="shared" ref="G697:J697" si="577">SUM(G698:G699)</f>
        <v>0</v>
      </c>
      <c r="H697" s="377">
        <f t="shared" si="577"/>
        <v>0</v>
      </c>
      <c r="I697" s="445">
        <f t="shared" si="577"/>
        <v>0</v>
      </c>
      <c r="J697" s="445">
        <f t="shared" si="577"/>
        <v>0</v>
      </c>
      <c r="K697" s="145">
        <f t="shared" si="525"/>
        <v>0</v>
      </c>
      <c r="L697" s="145">
        <f t="shared" si="526"/>
        <v>0</v>
      </c>
      <c r="M697" s="5"/>
      <c r="N697" s="5"/>
      <c r="O697" s="5"/>
      <c r="P697" s="5"/>
      <c r="Q697" s="139">
        <f t="shared" si="545"/>
        <v>0</v>
      </c>
    </row>
    <row r="698" spans="1:17" ht="12.75" hidden="1" customHeight="1">
      <c r="A698" s="385"/>
      <c r="B698" s="386"/>
      <c r="C698" s="387" t="s">
        <v>732</v>
      </c>
      <c r="D698" s="388"/>
      <c r="E698" s="389"/>
      <c r="F698" s="389"/>
      <c r="G698" s="390">
        <f>SUM(F698,E698)</f>
        <v>0</v>
      </c>
      <c r="H698" s="391">
        <f>ROUND(F698*H$7,)</f>
        <v>0</v>
      </c>
      <c r="I698" s="447">
        <f>ROUND(H698*I$7,)</f>
        <v>0</v>
      </c>
      <c r="J698" s="447">
        <f>ROUND(I698*J$7,)</f>
        <v>0</v>
      </c>
      <c r="K698" s="145">
        <f t="shared" si="525"/>
        <v>0</v>
      </c>
      <c r="L698" s="145">
        <f t="shared" si="526"/>
        <v>0</v>
      </c>
      <c r="M698" s="5"/>
      <c r="N698" s="5"/>
      <c r="O698" s="5"/>
      <c r="P698" s="5"/>
      <c r="Q698" s="139">
        <f t="shared" si="545"/>
        <v>0</v>
      </c>
    </row>
    <row r="699" spans="1:17" ht="12.75" hidden="1" customHeight="1">
      <c r="A699" s="385"/>
      <c r="B699" s="386"/>
      <c r="C699" s="387" t="s">
        <v>733</v>
      </c>
      <c r="D699" s="388"/>
      <c r="E699" s="406"/>
      <c r="F699" s="406"/>
      <c r="G699" s="390">
        <f>SUM(F699,E699)</f>
        <v>0</v>
      </c>
      <c r="H699" s="399"/>
      <c r="I699" s="449"/>
      <c r="J699" s="449"/>
      <c r="K699" s="145">
        <f t="shared" si="525"/>
        <v>0</v>
      </c>
      <c r="L699" s="145">
        <f t="shared" si="526"/>
        <v>0</v>
      </c>
      <c r="M699" s="5"/>
      <c r="N699" s="5"/>
      <c r="O699" s="5"/>
      <c r="P699" s="5"/>
      <c r="Q699" s="139">
        <f t="shared" si="545"/>
        <v>0</v>
      </c>
    </row>
    <row r="700" spans="1:17" ht="38.25" customHeight="1">
      <c r="A700" s="977" t="s">
        <v>784</v>
      </c>
      <c r="B700" s="948"/>
      <c r="C700" s="948"/>
      <c r="D700" s="522"/>
      <c r="E700" s="375">
        <f t="shared" ref="E700:F700" si="578">SUM(E701:E702)</f>
        <v>2980.5</v>
      </c>
      <c r="F700" s="375">
        <f t="shared" si="578"/>
        <v>0</v>
      </c>
      <c r="G700" s="376">
        <f t="shared" ref="G700" si="579">SUM(G701:G702)</f>
        <v>2980.5</v>
      </c>
      <c r="H700" s="478">
        <f t="shared" ref="H700:J700" si="580">SUM(H701:H702)</f>
        <v>0</v>
      </c>
      <c r="I700" s="531">
        <f t="shared" si="580"/>
        <v>0</v>
      </c>
      <c r="J700" s="531">
        <f t="shared" si="580"/>
        <v>0</v>
      </c>
      <c r="K700" s="137">
        <f t="shared" si="525"/>
        <v>5961</v>
      </c>
      <c r="L700" s="137">
        <f t="shared" si="526"/>
        <v>2980.5</v>
      </c>
      <c r="M700" s="132"/>
      <c r="N700" s="132"/>
      <c r="O700" s="132"/>
      <c r="P700" s="132"/>
      <c r="Q700" s="139">
        <f t="shared" si="545"/>
        <v>0</v>
      </c>
    </row>
    <row r="701" spans="1:17" ht="12.75" hidden="1" customHeight="1">
      <c r="A701" s="385"/>
      <c r="B701" s="386"/>
      <c r="C701" s="387" t="s">
        <v>732</v>
      </c>
      <c r="D701" s="388"/>
      <c r="E701" s="389"/>
      <c r="F701" s="389"/>
      <c r="G701" s="390">
        <f>SUM(F701,E701)</f>
        <v>0</v>
      </c>
      <c r="H701" s="391">
        <f>ROUND(F701*H$7,)</f>
        <v>0</v>
      </c>
      <c r="I701" s="447">
        <f>ROUND(H701*I$7,)</f>
        <v>0</v>
      </c>
      <c r="J701" s="447">
        <f>ROUND(I701*J$7,)</f>
        <v>0</v>
      </c>
      <c r="K701" s="145">
        <f t="shared" si="525"/>
        <v>0</v>
      </c>
      <c r="L701" s="145">
        <f t="shared" si="526"/>
        <v>0</v>
      </c>
      <c r="M701" s="5"/>
      <c r="N701" s="5"/>
      <c r="O701" s="5"/>
      <c r="P701" s="5"/>
      <c r="Q701" s="139">
        <f t="shared" si="545"/>
        <v>0</v>
      </c>
    </row>
    <row r="702" spans="1:17" ht="12.75" customHeight="1">
      <c r="A702" s="392"/>
      <c r="B702" s="393"/>
      <c r="C702" s="394" t="s">
        <v>733</v>
      </c>
      <c r="D702" s="414"/>
      <c r="E702" s="396">
        <v>2980.5</v>
      </c>
      <c r="F702" s="396"/>
      <c r="G702" s="397">
        <f>SUM(F702,E702)</f>
        <v>2980.5</v>
      </c>
      <c r="H702" s="399">
        <f>ROUND(F702*H$7,)</f>
        <v>0</v>
      </c>
      <c r="I702" s="449">
        <f>ROUND(H702*I$7,)</f>
        <v>0</v>
      </c>
      <c r="J702" s="449">
        <f>ROUND(I702*J$7,)</f>
        <v>0</v>
      </c>
      <c r="K702" s="137">
        <f t="shared" si="525"/>
        <v>5961</v>
      </c>
      <c r="L702" s="137">
        <f t="shared" si="526"/>
        <v>2980.5</v>
      </c>
      <c r="M702" s="132"/>
      <c r="N702" s="132"/>
      <c r="O702" s="132"/>
      <c r="P702" s="132"/>
      <c r="Q702" s="139">
        <f t="shared" si="545"/>
        <v>0</v>
      </c>
    </row>
    <row r="703" spans="1:17" ht="12.75" hidden="1" customHeight="1">
      <c r="A703" s="425" t="s">
        <v>742</v>
      </c>
      <c r="B703" s="426"/>
      <c r="C703" s="427"/>
      <c r="D703" s="428"/>
      <c r="E703" s="429">
        <f>SUM(E704)</f>
        <v>0</v>
      </c>
      <c r="F703" s="429">
        <f>SUM(F704)</f>
        <v>0</v>
      </c>
      <c r="G703" s="430">
        <f t="shared" ref="G703:J703" si="581">SUM(G704)</f>
        <v>0</v>
      </c>
      <c r="H703" s="470">
        <f t="shared" si="581"/>
        <v>0</v>
      </c>
      <c r="I703" s="530">
        <f t="shared" si="581"/>
        <v>0</v>
      </c>
      <c r="J703" s="530">
        <f t="shared" si="581"/>
        <v>0</v>
      </c>
      <c r="K703" s="145">
        <f t="shared" si="525"/>
        <v>0</v>
      </c>
      <c r="L703" s="145">
        <f t="shared" si="526"/>
        <v>0</v>
      </c>
      <c r="M703" s="5"/>
      <c r="N703" s="5"/>
      <c r="O703" s="5"/>
      <c r="P703" s="5"/>
      <c r="Q703" s="139">
        <f t="shared" si="545"/>
        <v>0</v>
      </c>
    </row>
    <row r="704" spans="1:17" ht="12.75" hidden="1" customHeight="1">
      <c r="A704" s="385"/>
      <c r="B704" s="386"/>
      <c r="C704" s="387" t="s">
        <v>733</v>
      </c>
      <c r="D704" s="388"/>
      <c r="E704" s="406"/>
      <c r="F704" s="406"/>
      <c r="G704" s="390">
        <f>SUM(F704,E704)</f>
        <v>0</v>
      </c>
      <c r="H704" s="399"/>
      <c r="I704" s="449"/>
      <c r="J704" s="449"/>
      <c r="K704" s="145">
        <f t="shared" si="525"/>
        <v>0</v>
      </c>
      <c r="L704" s="145">
        <f t="shared" si="526"/>
        <v>0</v>
      </c>
      <c r="M704" s="5"/>
      <c r="N704" s="5"/>
      <c r="O704" s="5"/>
      <c r="P704" s="5"/>
      <c r="Q704" s="139">
        <f t="shared" si="545"/>
        <v>0</v>
      </c>
    </row>
    <row r="705" spans="1:17" ht="12.75" customHeight="1">
      <c r="A705" s="350" t="s">
        <v>785</v>
      </c>
      <c r="B705" s="351"/>
      <c r="C705" s="352"/>
      <c r="D705" s="353"/>
      <c r="E705" s="369">
        <f>SUM(E706,E765,E827,E901)</f>
        <v>191290.28999999998</v>
      </c>
      <c r="F705" s="369">
        <f>SUM(F706,F765,F827,F901)</f>
        <v>0</v>
      </c>
      <c r="G705" s="370">
        <f t="shared" ref="G705:J705" si="582">SUM(G706,G765,G827,G901)</f>
        <v>191290.28999999998</v>
      </c>
      <c r="H705" s="356">
        <f t="shared" si="582"/>
        <v>0</v>
      </c>
      <c r="I705" s="442">
        <f t="shared" si="582"/>
        <v>0</v>
      </c>
      <c r="J705" s="442">
        <f t="shared" si="582"/>
        <v>0</v>
      </c>
      <c r="K705" s="137">
        <f t="shared" si="525"/>
        <v>382580.57999999996</v>
      </c>
      <c r="L705" s="137">
        <f t="shared" si="526"/>
        <v>191290.28999999998</v>
      </c>
      <c r="M705" s="132"/>
      <c r="N705" s="132"/>
      <c r="O705" s="132"/>
      <c r="P705" s="132"/>
      <c r="Q705" s="139">
        <f t="shared" si="545"/>
        <v>0</v>
      </c>
    </row>
    <row r="706" spans="1:17" ht="12.75" customHeight="1">
      <c r="A706" s="350" t="s">
        <v>786</v>
      </c>
      <c r="B706" s="351"/>
      <c r="C706" s="352"/>
      <c r="D706" s="353"/>
      <c r="E706" s="369">
        <f>SUM(E710,E738,E744,E755,E763,E751,E759)</f>
        <v>13770.19</v>
      </c>
      <c r="F706" s="369">
        <f>SUM(F710,F738,F744,F755,F763,F751,F759)</f>
        <v>0</v>
      </c>
      <c r="G706" s="370">
        <f>SUM(G710,G738,G744,G755,G763,G751,G759)</f>
        <v>13770.19</v>
      </c>
      <c r="H706" s="356">
        <f>SUM(H710,H738,H744,H755,H763)</f>
        <v>0</v>
      </c>
      <c r="I706" s="442">
        <f>SUM(I710,I738,I744,I755,I763)</f>
        <v>0</v>
      </c>
      <c r="J706" s="442">
        <f>SUM(J710,J738,J744,J755,J763)</f>
        <v>0</v>
      </c>
      <c r="K706" s="137">
        <f t="shared" si="525"/>
        <v>27540.38</v>
      </c>
      <c r="L706" s="137">
        <f t="shared" si="526"/>
        <v>13770.19</v>
      </c>
      <c r="M706" s="132"/>
      <c r="N706" s="134">
        <f>G706-G707</f>
        <v>0</v>
      </c>
      <c r="O706" s="132"/>
      <c r="P706" s="132"/>
      <c r="Q706" s="139">
        <f t="shared" si="545"/>
        <v>0</v>
      </c>
    </row>
    <row r="707" spans="1:17" ht="12.75" customHeight="1">
      <c r="A707" s="432"/>
      <c r="B707" s="433" t="s">
        <v>756</v>
      </c>
      <c r="C707" s="434"/>
      <c r="D707" s="435"/>
      <c r="E707" s="436">
        <f t="shared" ref="E707:F707" si="583">SUM(E708:E709)</f>
        <v>13770.19</v>
      </c>
      <c r="F707" s="436">
        <f t="shared" si="583"/>
        <v>0</v>
      </c>
      <c r="G707" s="437">
        <f t="shared" ref="G707" si="584">SUM(G708:G709)</f>
        <v>13770.19</v>
      </c>
      <c r="H707" s="438">
        <f t="shared" ref="H707:J707" si="585">SUM(H708:H709)</f>
        <v>0</v>
      </c>
      <c r="I707" s="457">
        <f t="shared" si="585"/>
        <v>0</v>
      </c>
      <c r="J707" s="457">
        <f t="shared" si="585"/>
        <v>0</v>
      </c>
      <c r="K707" s="137">
        <f t="shared" si="525"/>
        <v>27540.38</v>
      </c>
      <c r="L707" s="137">
        <f t="shared" si="526"/>
        <v>13770.19</v>
      </c>
      <c r="M707" s="132"/>
      <c r="N707" s="132"/>
      <c r="O707" s="132"/>
      <c r="P707" s="132"/>
      <c r="Q707" s="139">
        <f t="shared" si="545"/>
        <v>0</v>
      </c>
    </row>
    <row r="708" spans="1:17" ht="12.75" customHeight="1">
      <c r="A708" s="432"/>
      <c r="B708" s="433" t="s">
        <v>732</v>
      </c>
      <c r="C708" s="434"/>
      <c r="D708" s="435"/>
      <c r="E708" s="436">
        <f>SUM(E720,E728,E739,E750,E757,E731,E742,E753,E761)</f>
        <v>12535</v>
      </c>
      <c r="F708" s="436">
        <f>SUM(F720,F728,F739,F750,F757,F731,F742,F753,F761)</f>
        <v>0</v>
      </c>
      <c r="G708" s="437">
        <f>SUM(G720,G728,G739,G750,G757,G731,G742,G753,G761)</f>
        <v>12535</v>
      </c>
      <c r="H708" s="523">
        <f>SUM(H720,H728,H739,H750,H757,H764,H731,H742)</f>
        <v>0</v>
      </c>
      <c r="I708" s="535">
        <f>SUM(I720,I728,I739,I750,I757,I764,I731,I742)</f>
        <v>0</v>
      </c>
      <c r="J708" s="535">
        <f>SUM(J720,J728,J739,J750,J757,J764,J731,J742)</f>
        <v>0</v>
      </c>
      <c r="K708" s="137">
        <f t="shared" si="525"/>
        <v>25070</v>
      </c>
      <c r="L708" s="137">
        <f t="shared" si="526"/>
        <v>12535</v>
      </c>
      <c r="M708" s="132"/>
      <c r="N708" s="132"/>
      <c r="O708" s="132"/>
      <c r="P708" s="132"/>
      <c r="Q708" s="139">
        <f t="shared" si="545"/>
        <v>0</v>
      </c>
    </row>
    <row r="709" spans="1:17" ht="12.75" customHeight="1">
      <c r="A709" s="432"/>
      <c r="B709" s="433" t="s">
        <v>733</v>
      </c>
      <c r="C709" s="434"/>
      <c r="D709" s="435"/>
      <c r="E709" s="510">
        <f>SUM(E721,E729,E740,E764,E737,E743,E754,E758,E762)</f>
        <v>1235.19</v>
      </c>
      <c r="F709" s="510">
        <f t="shared" ref="F709:G709" si="586">SUM(F721,F729,F740,F764,F737,F743,F754,F758,F762)</f>
        <v>0</v>
      </c>
      <c r="G709" s="510">
        <f t="shared" si="586"/>
        <v>1235.19</v>
      </c>
      <c r="H709" s="524">
        <f>SUM(H721,H729,H740,H758,H737&lt;H743)</f>
        <v>0</v>
      </c>
      <c r="I709" s="536">
        <f>SUM(I721,I729,I740,I758,I737&lt;I743)</f>
        <v>0</v>
      </c>
      <c r="J709" s="536">
        <f>SUM(J721,J729,J740,J758,J737&lt;J743)</f>
        <v>0</v>
      </c>
      <c r="K709" s="137">
        <f t="shared" si="525"/>
        <v>2470.38</v>
      </c>
      <c r="L709" s="137">
        <f t="shared" si="526"/>
        <v>1235.19</v>
      </c>
      <c r="M709" s="132"/>
      <c r="N709" s="132"/>
      <c r="O709" s="132"/>
      <c r="P709" s="132"/>
      <c r="Q709" s="139">
        <f t="shared" si="545"/>
        <v>0</v>
      </c>
    </row>
    <row r="710" spans="1:17" ht="12.75" customHeight="1">
      <c r="A710" s="525" t="s">
        <v>787</v>
      </c>
      <c r="B710" s="526"/>
      <c r="C710" s="527"/>
      <c r="D710" s="528">
        <v>65020704</v>
      </c>
      <c r="E710" s="375">
        <f t="shared" ref="E710:F710" si="587">SUM(E711,E722,E730)</f>
        <v>4068.19</v>
      </c>
      <c r="F710" s="375">
        <f t="shared" si="587"/>
        <v>0</v>
      </c>
      <c r="G710" s="376">
        <f t="shared" ref="G710:J710" si="588">SUM(G711,G722,G730)</f>
        <v>4068.19</v>
      </c>
      <c r="H710" s="377">
        <f t="shared" si="588"/>
        <v>0</v>
      </c>
      <c r="I710" s="445">
        <f t="shared" si="588"/>
        <v>0</v>
      </c>
      <c r="J710" s="445">
        <f t="shared" si="588"/>
        <v>0</v>
      </c>
      <c r="K710" s="137">
        <f t="shared" si="525"/>
        <v>8136.38</v>
      </c>
      <c r="L710" s="137">
        <f t="shared" si="526"/>
        <v>4068.19</v>
      </c>
      <c r="M710" s="132"/>
      <c r="N710" s="132"/>
      <c r="O710" s="132"/>
      <c r="P710" s="132"/>
      <c r="Q710" s="139">
        <f t="shared" si="545"/>
        <v>0</v>
      </c>
    </row>
    <row r="711" spans="1:17" ht="24" customHeight="1">
      <c r="A711" s="378" t="s">
        <v>788</v>
      </c>
      <c r="B711" s="379"/>
      <c r="C711" s="380"/>
      <c r="D711" s="381" t="s">
        <v>789</v>
      </c>
      <c r="E711" s="382">
        <f>SUM(E712,E718)</f>
        <v>3729.19</v>
      </c>
      <c r="F711" s="382">
        <f>SUM(F712,F718)</f>
        <v>0</v>
      </c>
      <c r="G711" s="383">
        <f>SUM(G712,G718)</f>
        <v>3729.19</v>
      </c>
      <c r="H711" s="384">
        <f>SUM(H712:H718)</f>
        <v>0</v>
      </c>
      <c r="I711" s="446">
        <f>SUM(I712:I718)</f>
        <v>0</v>
      </c>
      <c r="J711" s="446">
        <f>SUM(J712:J718)</f>
        <v>0</v>
      </c>
      <c r="K711" s="137">
        <f t="shared" si="525"/>
        <v>7458.38</v>
      </c>
      <c r="L711" s="137">
        <f t="shared" si="526"/>
        <v>3729.19</v>
      </c>
      <c r="M711" s="134">
        <f>G711+G722+G738</f>
        <v>5228.1900000000005</v>
      </c>
      <c r="N711" s="132"/>
      <c r="O711" s="132"/>
      <c r="P711" s="132"/>
      <c r="Q711" s="139">
        <f t="shared" si="545"/>
        <v>0</v>
      </c>
    </row>
    <row r="712" spans="1:17" ht="12.75" customHeight="1">
      <c r="A712" s="392" t="s">
        <v>790</v>
      </c>
      <c r="B712" s="393"/>
      <c r="C712" s="394"/>
      <c r="D712" s="395"/>
      <c r="E712" s="396">
        <f>E720+E721</f>
        <v>3729.19</v>
      </c>
      <c r="F712" s="396">
        <f>F720+F721</f>
        <v>0</v>
      </c>
      <c r="G712" s="397">
        <f t="shared" ref="G712:G718" si="589">SUM(F712,E712)</f>
        <v>3729.19</v>
      </c>
      <c r="H712" s="202">
        <f>ROUND(F712*H$7,)</f>
        <v>0</v>
      </c>
      <c r="I712" s="210">
        <f>ROUND(F712*I$7,)</f>
        <v>0</v>
      </c>
      <c r="J712" s="210">
        <f>ROUND(F712*J$7,)</f>
        <v>0</v>
      </c>
      <c r="K712" s="137">
        <f t="shared" si="525"/>
        <v>7458.38</v>
      </c>
      <c r="L712" s="137">
        <f t="shared" si="526"/>
        <v>3729.19</v>
      </c>
      <c r="M712" s="134">
        <f>G340</f>
        <v>1612</v>
      </c>
      <c r="N712" s="132"/>
      <c r="O712" s="132"/>
      <c r="P712" s="132"/>
      <c r="Q712" s="139">
        <f t="shared" si="545"/>
        <v>0</v>
      </c>
    </row>
    <row r="713" spans="1:17" ht="12.75">
      <c r="A713" s="392"/>
      <c r="B713" s="393"/>
      <c r="C713" s="394" t="s">
        <v>791</v>
      </c>
      <c r="D713" s="395"/>
      <c r="E713" s="406">
        <f>60</f>
        <v>60</v>
      </c>
      <c r="F713" s="396"/>
      <c r="G713" s="397">
        <f t="shared" si="589"/>
        <v>60</v>
      </c>
      <c r="H713" s="202"/>
      <c r="I713" s="210"/>
      <c r="J713" s="210"/>
      <c r="K713" s="137">
        <f t="shared" si="525"/>
        <v>120</v>
      </c>
      <c r="L713" s="137">
        <f t="shared" si="526"/>
        <v>60</v>
      </c>
      <c r="M713" s="537">
        <v>1.1000000000000001</v>
      </c>
      <c r="N713" s="134">
        <f>F713+F739-15</f>
        <v>-15</v>
      </c>
      <c r="O713" s="132"/>
      <c r="P713" s="132"/>
      <c r="Q713" s="139">
        <f t="shared" si="545"/>
        <v>0</v>
      </c>
    </row>
    <row r="714" spans="1:17" ht="25.5" customHeight="1">
      <c r="A714" s="392"/>
      <c r="B714" s="393"/>
      <c r="C714" s="394" t="s">
        <v>264</v>
      </c>
      <c r="D714" s="395"/>
      <c r="E714" s="396">
        <f>918+30</f>
        <v>948</v>
      </c>
      <c r="F714" s="396"/>
      <c r="G714" s="397">
        <f t="shared" si="589"/>
        <v>948</v>
      </c>
      <c r="H714" s="202"/>
      <c r="I714" s="210"/>
      <c r="J714" s="210"/>
      <c r="K714" s="137">
        <f t="shared" si="525"/>
        <v>1896</v>
      </c>
      <c r="L714" s="137">
        <f t="shared" si="526"/>
        <v>948</v>
      </c>
      <c r="M714" s="134"/>
      <c r="N714" s="132"/>
      <c r="O714" s="132"/>
      <c r="P714" s="132"/>
      <c r="Q714" s="139">
        <f t="shared" si="545"/>
        <v>0</v>
      </c>
    </row>
    <row r="715" spans="1:17" ht="25.5" customHeight="1">
      <c r="A715" s="392"/>
      <c r="B715" s="393"/>
      <c r="C715" s="394" t="s">
        <v>792</v>
      </c>
      <c r="D715" s="395"/>
      <c r="E715" s="396">
        <v>2088</v>
      </c>
      <c r="F715" s="396"/>
      <c r="G715" s="397">
        <f t="shared" si="589"/>
        <v>2088</v>
      </c>
      <c r="H715" s="202"/>
      <c r="I715" s="210"/>
      <c r="J715" s="210"/>
      <c r="K715" s="137">
        <f t="shared" si="525"/>
        <v>4176</v>
      </c>
      <c r="L715" s="137">
        <f t="shared" si="526"/>
        <v>2088</v>
      </c>
      <c r="M715" s="537">
        <v>1.1499999999999999</v>
      </c>
      <c r="N715" s="134">
        <f>F715+F725+F733</f>
        <v>0</v>
      </c>
      <c r="O715" s="132"/>
      <c r="P715" s="132"/>
      <c r="Q715" s="139">
        <f t="shared" si="545"/>
        <v>0</v>
      </c>
    </row>
    <row r="716" spans="1:17" ht="12.75" customHeight="1">
      <c r="A716" s="385"/>
      <c r="B716" s="386"/>
      <c r="C716" s="387" t="s">
        <v>793</v>
      </c>
      <c r="D716" s="403"/>
      <c r="E716" s="406">
        <v>633.19000000000005</v>
      </c>
      <c r="F716" s="406"/>
      <c r="G716" s="390">
        <f t="shared" si="589"/>
        <v>633.19000000000005</v>
      </c>
      <c r="H716" s="202"/>
      <c r="I716" s="210"/>
      <c r="J716" s="210"/>
      <c r="K716" s="145">
        <f t="shared" si="525"/>
        <v>1266.3800000000001</v>
      </c>
      <c r="L716" s="145">
        <f t="shared" si="526"/>
        <v>633.19000000000005</v>
      </c>
      <c r="M716" s="74"/>
      <c r="N716" s="5"/>
      <c r="O716" s="5"/>
      <c r="P716" s="5"/>
      <c r="Q716" s="139">
        <f t="shared" si="545"/>
        <v>0</v>
      </c>
    </row>
    <row r="717" spans="1:17" ht="12.75" hidden="1" customHeight="1">
      <c r="A717" s="392"/>
      <c r="B717" s="393"/>
      <c r="C717" s="394" t="s">
        <v>744</v>
      </c>
      <c r="D717" s="395"/>
      <c r="E717" s="538">
        <f>30-30</f>
        <v>0</v>
      </c>
      <c r="F717" s="396"/>
      <c r="G717" s="397">
        <f t="shared" si="589"/>
        <v>0</v>
      </c>
      <c r="H717" s="202"/>
      <c r="I717" s="210"/>
      <c r="J717" s="210"/>
      <c r="K717" s="137">
        <f t="shared" si="525"/>
        <v>0</v>
      </c>
      <c r="L717" s="137">
        <f t="shared" si="526"/>
        <v>0</v>
      </c>
      <c r="M717" s="134"/>
      <c r="N717" s="132"/>
      <c r="O717" s="132"/>
      <c r="P717" s="132"/>
      <c r="Q717" s="139">
        <f t="shared" si="545"/>
        <v>0</v>
      </c>
    </row>
    <row r="718" spans="1:17" ht="12.75" hidden="1" customHeight="1">
      <c r="A718" s="385" t="s">
        <v>794</v>
      </c>
      <c r="B718" s="386"/>
      <c r="C718" s="387"/>
      <c r="D718" s="388"/>
      <c r="E718" s="389"/>
      <c r="F718" s="389"/>
      <c r="G718" s="390">
        <f t="shared" si="589"/>
        <v>0</v>
      </c>
      <c r="H718" s="391">
        <f>ROUND(F718*H$7,)</f>
        <v>0</v>
      </c>
      <c r="I718" s="447">
        <f>ROUND(H718*I$7,)</f>
        <v>0</v>
      </c>
      <c r="J718" s="447">
        <f>ROUND(I718*J$7,)</f>
        <v>0</v>
      </c>
      <c r="K718" s="145">
        <f t="shared" si="525"/>
        <v>0</v>
      </c>
      <c r="L718" s="145">
        <f t="shared" si="526"/>
        <v>0</v>
      </c>
      <c r="M718" s="5"/>
      <c r="N718" s="5"/>
      <c r="O718" s="5"/>
      <c r="P718" s="5"/>
      <c r="Q718" s="139">
        <f t="shared" si="545"/>
        <v>0</v>
      </c>
    </row>
    <row r="719" spans="1:17" ht="12.75" customHeight="1">
      <c r="A719" s="378"/>
      <c r="B719" s="539" t="s">
        <v>731</v>
      </c>
      <c r="C719" s="380"/>
      <c r="D719" s="381"/>
      <c r="E719" s="382">
        <f t="shared" ref="E719:F719" si="590">SUM(E720:E721)</f>
        <v>3729.19</v>
      </c>
      <c r="F719" s="382">
        <f t="shared" si="590"/>
        <v>0</v>
      </c>
      <c r="G719" s="383">
        <f t="shared" ref="G719" si="591">SUM(G720:G721)</f>
        <v>3729.19</v>
      </c>
      <c r="H719" s="540">
        <f t="shared" ref="H719:J719" si="592">SUM(H720:H721)</f>
        <v>0</v>
      </c>
      <c r="I719" s="568">
        <f t="shared" si="592"/>
        <v>0</v>
      </c>
      <c r="J719" s="568">
        <f t="shared" si="592"/>
        <v>0</v>
      </c>
      <c r="K719" s="137">
        <f t="shared" si="525"/>
        <v>7458.38</v>
      </c>
      <c r="L719" s="137">
        <f t="shared" si="526"/>
        <v>3729.19</v>
      </c>
      <c r="M719" s="134">
        <f>M711-M712</f>
        <v>3616.1900000000005</v>
      </c>
      <c r="N719" s="132"/>
      <c r="O719" s="132"/>
      <c r="P719" s="132"/>
      <c r="Q719" s="139">
        <f t="shared" si="545"/>
        <v>0</v>
      </c>
    </row>
    <row r="720" spans="1:17" ht="15" customHeight="1">
      <c r="A720" s="392"/>
      <c r="B720" s="393"/>
      <c r="C720" s="394" t="s">
        <v>732</v>
      </c>
      <c r="D720" s="395"/>
      <c r="E720" s="396">
        <f>SUM(E713:E715)</f>
        <v>3096</v>
      </c>
      <c r="F720" s="396">
        <f>SUM(F713:F715)</f>
        <v>0</v>
      </c>
      <c r="G720" s="397">
        <f>SUM(F720,E720)</f>
        <v>3096</v>
      </c>
      <c r="H720" s="202">
        <f>ROUND(F720*H$7,)</f>
        <v>0</v>
      </c>
      <c r="I720" s="210">
        <f>ROUND(F720*I$7,)</f>
        <v>0</v>
      </c>
      <c r="J720" s="210">
        <f>ROUND(F720*J$7,)</f>
        <v>0</v>
      </c>
      <c r="K720" s="137">
        <f t="shared" si="525"/>
        <v>6192</v>
      </c>
      <c r="L720" s="137">
        <f t="shared" si="526"/>
        <v>3096</v>
      </c>
      <c r="M720" s="450">
        <v>0.1</v>
      </c>
      <c r="N720" s="569">
        <v>1213</v>
      </c>
      <c r="O720" s="132"/>
      <c r="P720" s="132"/>
      <c r="Q720" s="139">
        <f t="shared" si="545"/>
        <v>0</v>
      </c>
    </row>
    <row r="721" spans="1:17" ht="12.75" customHeight="1">
      <c r="A721" s="392"/>
      <c r="B721" s="393"/>
      <c r="C721" s="394" t="s">
        <v>733</v>
      </c>
      <c r="D721" s="414"/>
      <c r="E721" s="408">
        <f>SUM(E716:E717)</f>
        <v>633.19000000000005</v>
      </c>
      <c r="F721" s="408">
        <f>SUM(F716:F717)</f>
        <v>0</v>
      </c>
      <c r="G721" s="397">
        <f>SUM(F721,E721)</f>
        <v>633.19000000000005</v>
      </c>
      <c r="H721" s="391">
        <f>ROUND(F721*H$7,)</f>
        <v>0</v>
      </c>
      <c r="I721" s="447">
        <f>ROUND(H721*I$7,)</f>
        <v>0</v>
      </c>
      <c r="J721" s="447">
        <f>ROUND(I721*J$7,)</f>
        <v>0</v>
      </c>
      <c r="K721" s="137">
        <f t="shared" si="525"/>
        <v>1266.3800000000001</v>
      </c>
      <c r="L721" s="137">
        <f t="shared" si="526"/>
        <v>633.19000000000005</v>
      </c>
      <c r="M721" s="132"/>
      <c r="N721" s="132"/>
      <c r="O721" s="132"/>
      <c r="P721" s="132"/>
      <c r="Q721" s="139">
        <f t="shared" si="545"/>
        <v>0</v>
      </c>
    </row>
    <row r="722" spans="1:17" ht="24" customHeight="1">
      <c r="A722" s="378" t="s">
        <v>795</v>
      </c>
      <c r="B722" s="379"/>
      <c r="C722" s="380"/>
      <c r="D722" s="381" t="s">
        <v>796</v>
      </c>
      <c r="E722" s="382">
        <f>SUM(E723,E726)</f>
        <v>121</v>
      </c>
      <c r="F722" s="382">
        <f>SUM(F723,F726)</f>
        <v>0</v>
      </c>
      <c r="G722" s="383">
        <f>SUM(G723,G726)</f>
        <v>121</v>
      </c>
      <c r="H722" s="540">
        <f>SUM(H723:H726)</f>
        <v>0</v>
      </c>
      <c r="I722" s="568">
        <f>SUM(I723:I726)</f>
        <v>0</v>
      </c>
      <c r="J722" s="568">
        <f>SUM(J723:J726)</f>
        <v>0</v>
      </c>
      <c r="K722" s="137">
        <f t="shared" si="525"/>
        <v>242</v>
      </c>
      <c r="L722" s="137">
        <f t="shared" si="526"/>
        <v>121</v>
      </c>
      <c r="M722" s="132"/>
      <c r="N722" s="132"/>
      <c r="O722" s="132"/>
      <c r="P722" s="132"/>
      <c r="Q722" s="139">
        <f t="shared" si="545"/>
        <v>0</v>
      </c>
    </row>
    <row r="723" spans="1:17" ht="12.75" customHeight="1">
      <c r="A723" s="392" t="s">
        <v>790</v>
      </c>
      <c r="B723" s="393"/>
      <c r="C723" s="394"/>
      <c r="D723" s="395"/>
      <c r="E723" s="408">
        <f>E728</f>
        <v>121</v>
      </c>
      <c r="F723" s="408">
        <f>F728</f>
        <v>0</v>
      </c>
      <c r="G723" s="397">
        <f>SUM(F723,E723)</f>
        <v>121</v>
      </c>
      <c r="H723" s="202">
        <f>ROUND(F723*H$7,)</f>
        <v>0</v>
      </c>
      <c r="I723" s="210">
        <f>ROUND(F723*I$7,)</f>
        <v>0</v>
      </c>
      <c r="J723" s="210">
        <f>ROUND(F723*J$7,)</f>
        <v>0</v>
      </c>
      <c r="K723" s="137">
        <f t="shared" si="525"/>
        <v>242</v>
      </c>
      <c r="L723" s="137">
        <f t="shared" si="526"/>
        <v>121</v>
      </c>
      <c r="M723" s="132"/>
      <c r="N723" s="132"/>
      <c r="O723" s="132"/>
      <c r="P723" s="132"/>
      <c r="Q723" s="139">
        <f t="shared" si="545"/>
        <v>0</v>
      </c>
    </row>
    <row r="724" spans="1:17" ht="38.25" hidden="1" customHeight="1">
      <c r="A724" s="385"/>
      <c r="B724" s="386"/>
      <c r="C724" s="387" t="s">
        <v>264</v>
      </c>
      <c r="D724" s="388"/>
      <c r="E724" s="406"/>
      <c r="F724" s="406"/>
      <c r="G724" s="390">
        <f>SUM(F724,E724)</f>
        <v>0</v>
      </c>
      <c r="H724" s="202"/>
      <c r="I724" s="210"/>
      <c r="J724" s="210"/>
      <c r="K724" s="145">
        <f t="shared" si="525"/>
        <v>0</v>
      </c>
      <c r="L724" s="145">
        <f t="shared" si="526"/>
        <v>0</v>
      </c>
      <c r="M724" s="5"/>
      <c r="N724" s="5"/>
      <c r="O724" s="5"/>
      <c r="P724" s="5"/>
      <c r="Q724" s="139">
        <f t="shared" si="545"/>
        <v>0</v>
      </c>
    </row>
    <row r="725" spans="1:17" ht="25.5" customHeight="1">
      <c r="A725" s="392"/>
      <c r="B725" s="393"/>
      <c r="C725" s="394" t="s">
        <v>797</v>
      </c>
      <c r="D725" s="414"/>
      <c r="E725" s="396">
        <v>121</v>
      </c>
      <c r="F725" s="396"/>
      <c r="G725" s="397">
        <f>SUM(F725,E725)</f>
        <v>121</v>
      </c>
      <c r="H725" s="202"/>
      <c r="I725" s="210"/>
      <c r="J725" s="210"/>
      <c r="K725" s="137">
        <f t="shared" si="525"/>
        <v>242</v>
      </c>
      <c r="L725" s="137">
        <f t="shared" si="526"/>
        <v>121</v>
      </c>
      <c r="M725" s="132">
        <v>1.1499999999999999</v>
      </c>
      <c r="N725" s="132"/>
      <c r="O725" s="132"/>
      <c r="P725" s="132"/>
      <c r="Q725" s="139">
        <f t="shared" si="545"/>
        <v>0</v>
      </c>
    </row>
    <row r="726" spans="1:17" ht="12.75" hidden="1" customHeight="1">
      <c r="A726" s="385" t="s">
        <v>794</v>
      </c>
      <c r="B726" s="386"/>
      <c r="C726" s="387"/>
      <c r="D726" s="388"/>
      <c r="E726" s="389"/>
      <c r="F726" s="389"/>
      <c r="G726" s="390">
        <f>SUM(F726,E726)</f>
        <v>0</v>
      </c>
      <c r="H726" s="391">
        <f>ROUND(F726*H$7,)</f>
        <v>0</v>
      </c>
      <c r="I726" s="447">
        <f>ROUND(H726*I$7,)</f>
        <v>0</v>
      </c>
      <c r="J726" s="447">
        <f>ROUND(I726*J$7,)</f>
        <v>0</v>
      </c>
      <c r="K726" s="145">
        <f t="shared" si="525"/>
        <v>0</v>
      </c>
      <c r="L726" s="145">
        <f t="shared" si="526"/>
        <v>0</v>
      </c>
      <c r="M726" s="5"/>
      <c r="N726" s="5"/>
      <c r="O726" s="5"/>
      <c r="P726" s="5"/>
      <c r="Q726" s="139">
        <f t="shared" si="545"/>
        <v>0</v>
      </c>
    </row>
    <row r="727" spans="1:17" ht="12.75" customHeight="1">
      <c r="A727" s="378"/>
      <c r="B727" s="539" t="s">
        <v>731</v>
      </c>
      <c r="C727" s="380"/>
      <c r="D727" s="381"/>
      <c r="E727" s="382">
        <f t="shared" ref="E727:F727" si="593">SUM(E728:E729)</f>
        <v>121</v>
      </c>
      <c r="F727" s="382">
        <f t="shared" si="593"/>
        <v>0</v>
      </c>
      <c r="G727" s="383">
        <f t="shared" ref="G727" si="594">SUM(G728:G729)</f>
        <v>121</v>
      </c>
      <c r="H727" s="540">
        <f t="shared" ref="H727:J727" si="595">SUM(H728:H729)</f>
        <v>0</v>
      </c>
      <c r="I727" s="568">
        <f t="shared" si="595"/>
        <v>0</v>
      </c>
      <c r="J727" s="568">
        <f t="shared" si="595"/>
        <v>0</v>
      </c>
      <c r="K727" s="137">
        <f t="shared" si="525"/>
        <v>242</v>
      </c>
      <c r="L727" s="137">
        <f t="shared" si="526"/>
        <v>121</v>
      </c>
      <c r="M727" s="132"/>
      <c r="N727" s="132"/>
      <c r="O727" s="132"/>
      <c r="P727" s="132"/>
      <c r="Q727" s="139">
        <f t="shared" si="545"/>
        <v>0</v>
      </c>
    </row>
    <row r="728" spans="1:17" ht="15" customHeight="1">
      <c r="A728" s="392"/>
      <c r="B728" s="393"/>
      <c r="C728" s="394" t="s">
        <v>732</v>
      </c>
      <c r="D728" s="395"/>
      <c r="E728" s="396">
        <f>SUM(E724:E725)</f>
        <v>121</v>
      </c>
      <c r="F728" s="396">
        <f>SUM(F724:F725)</f>
        <v>0</v>
      </c>
      <c r="G728" s="397">
        <f>SUM(G724:G725)</f>
        <v>121</v>
      </c>
      <c r="H728" s="202">
        <f>ROUND(F728*H$7,)</f>
        <v>0</v>
      </c>
      <c r="I728" s="210">
        <f>ROUND(F728*I$7,)</f>
        <v>0</v>
      </c>
      <c r="J728" s="210">
        <f>ROUND(F728*J$7,)</f>
        <v>0</v>
      </c>
      <c r="K728" s="137">
        <f t="shared" si="525"/>
        <v>242</v>
      </c>
      <c r="L728" s="137">
        <f t="shared" si="526"/>
        <v>121</v>
      </c>
      <c r="M728" s="450">
        <v>1.1000000000000001</v>
      </c>
      <c r="N728" s="569">
        <v>55</v>
      </c>
      <c r="O728" s="132"/>
      <c r="P728" s="132"/>
      <c r="Q728" s="139">
        <f t="shared" si="545"/>
        <v>0</v>
      </c>
    </row>
    <row r="729" spans="1:17" ht="12.75" hidden="1" customHeight="1">
      <c r="A729" s="385"/>
      <c r="B729" s="386"/>
      <c r="C729" s="387" t="s">
        <v>733</v>
      </c>
      <c r="D729" s="388"/>
      <c r="E729" s="389"/>
      <c r="F729" s="389"/>
      <c r="G729" s="390">
        <f>SUM(F729,E729)</f>
        <v>0</v>
      </c>
      <c r="H729" s="391">
        <f>ROUND(F729*H$7,)</f>
        <v>0</v>
      </c>
      <c r="I729" s="447">
        <f>ROUND(H729*I$7,)</f>
        <v>0</v>
      </c>
      <c r="J729" s="447">
        <f>ROUND(I729*J$7,)</f>
        <v>0</v>
      </c>
      <c r="K729" s="145">
        <f t="shared" si="525"/>
        <v>0</v>
      </c>
      <c r="L729" s="145">
        <f t="shared" si="526"/>
        <v>0</v>
      </c>
      <c r="M729" s="5"/>
      <c r="N729" s="5"/>
      <c r="O729" s="5"/>
      <c r="P729" s="5"/>
      <c r="Q729" s="139">
        <f t="shared" si="545"/>
        <v>0</v>
      </c>
    </row>
    <row r="730" spans="1:17" ht="12.75" customHeight="1">
      <c r="A730" s="378" t="s">
        <v>798</v>
      </c>
      <c r="B730" s="379"/>
      <c r="C730" s="380"/>
      <c r="D730" s="541"/>
      <c r="E730" s="382">
        <f>SUM(E731,E734)</f>
        <v>218</v>
      </c>
      <c r="F730" s="382">
        <f>SUM(F731,F734)</f>
        <v>0</v>
      </c>
      <c r="G730" s="383">
        <f>SUM(G731,G734)</f>
        <v>218</v>
      </c>
      <c r="H730" s="540">
        <f>SUM(H731:H734)</f>
        <v>0</v>
      </c>
      <c r="I730" s="568">
        <f>SUM(I731:I734)</f>
        <v>0</v>
      </c>
      <c r="J730" s="568">
        <f>SUM(J731:J734)</f>
        <v>0</v>
      </c>
      <c r="K730" s="137">
        <f t="shared" si="525"/>
        <v>436</v>
      </c>
      <c r="L730" s="137">
        <f t="shared" si="526"/>
        <v>218</v>
      </c>
      <c r="M730" s="132"/>
      <c r="N730" s="132"/>
      <c r="O730" s="132"/>
      <c r="P730" s="132"/>
      <c r="Q730" s="139">
        <f t="shared" ref="Q730:Q793" si="596">E730-G730</f>
        <v>0</v>
      </c>
    </row>
    <row r="731" spans="1:17" ht="12.75" customHeight="1">
      <c r="A731" s="392" t="s">
        <v>790</v>
      </c>
      <c r="B731" s="393"/>
      <c r="C731" s="394"/>
      <c r="D731" s="414"/>
      <c r="E731" s="396">
        <f>E736</f>
        <v>218</v>
      </c>
      <c r="F731" s="396">
        <f>F736</f>
        <v>0</v>
      </c>
      <c r="G731" s="397">
        <f>SUM(F731,E731)</f>
        <v>218</v>
      </c>
      <c r="H731" s="202">
        <f>ROUND(F731*H$7,)</f>
        <v>0</v>
      </c>
      <c r="I731" s="210">
        <f>ROUND(F731*I$7,)</f>
        <v>0</v>
      </c>
      <c r="J731" s="210">
        <f>ROUND(F731*J$7,)</f>
        <v>0</v>
      </c>
      <c r="K731" s="137">
        <f t="shared" si="525"/>
        <v>436</v>
      </c>
      <c r="L731" s="137">
        <f t="shared" si="526"/>
        <v>218</v>
      </c>
      <c r="M731" s="132"/>
      <c r="N731" s="132"/>
      <c r="O731" s="132"/>
      <c r="P731" s="132"/>
      <c r="Q731" s="139">
        <f t="shared" si="596"/>
        <v>0</v>
      </c>
    </row>
    <row r="732" spans="1:17" ht="38.25" hidden="1" customHeight="1">
      <c r="A732" s="385"/>
      <c r="B732" s="386"/>
      <c r="C732" s="387" t="s">
        <v>264</v>
      </c>
      <c r="D732" s="388"/>
      <c r="E732" s="406"/>
      <c r="F732" s="406"/>
      <c r="G732" s="390">
        <f>SUM(F732,E732)</f>
        <v>0</v>
      </c>
      <c r="H732" s="202"/>
      <c r="I732" s="210"/>
      <c r="J732" s="210"/>
      <c r="K732" s="145">
        <f t="shared" si="525"/>
        <v>0</v>
      </c>
      <c r="L732" s="145">
        <f t="shared" si="526"/>
        <v>0</v>
      </c>
      <c r="M732" s="5"/>
      <c r="N732" s="5"/>
      <c r="O732" s="5"/>
      <c r="P732" s="5"/>
      <c r="Q732" s="139">
        <f t="shared" si="596"/>
        <v>0</v>
      </c>
    </row>
    <row r="733" spans="1:17" ht="25.5" customHeight="1">
      <c r="A733" s="392"/>
      <c r="B733" s="393"/>
      <c r="C733" s="394" t="s">
        <v>797</v>
      </c>
      <c r="D733" s="414"/>
      <c r="E733" s="396">
        <v>218</v>
      </c>
      <c r="F733" s="396"/>
      <c r="G733" s="397">
        <f>SUM(F733,E733)</f>
        <v>218</v>
      </c>
      <c r="H733" s="202"/>
      <c r="I733" s="210"/>
      <c r="J733" s="210"/>
      <c r="K733" s="137">
        <f t="shared" si="525"/>
        <v>436</v>
      </c>
      <c r="L733" s="137">
        <f t="shared" si="526"/>
        <v>218</v>
      </c>
      <c r="M733" s="132">
        <v>1.1499999999999999</v>
      </c>
      <c r="N733" s="132"/>
      <c r="O733" s="132"/>
      <c r="P733" s="132"/>
      <c r="Q733" s="139">
        <f t="shared" si="596"/>
        <v>0</v>
      </c>
    </row>
    <row r="734" spans="1:17" ht="12.75" hidden="1" customHeight="1">
      <c r="A734" s="385" t="s">
        <v>794</v>
      </c>
      <c r="B734" s="386"/>
      <c r="C734" s="387"/>
      <c r="D734" s="388"/>
      <c r="E734" s="389"/>
      <c r="F734" s="389"/>
      <c r="G734" s="390">
        <f>SUM(F734,E734)</f>
        <v>0</v>
      </c>
      <c r="H734" s="391">
        <f>ROUND(F734*H$7,)</f>
        <v>0</v>
      </c>
      <c r="I734" s="447">
        <f>ROUND(H734*I$7,)</f>
        <v>0</v>
      </c>
      <c r="J734" s="447">
        <f>ROUND(I734*J$7,)</f>
        <v>0</v>
      </c>
      <c r="K734" s="145">
        <f t="shared" si="525"/>
        <v>0</v>
      </c>
      <c r="L734" s="145">
        <f t="shared" si="526"/>
        <v>0</v>
      </c>
      <c r="M734" s="5"/>
      <c r="N734" s="5"/>
      <c r="O734" s="5"/>
      <c r="P734" s="5"/>
      <c r="Q734" s="139">
        <f t="shared" si="596"/>
        <v>0</v>
      </c>
    </row>
    <row r="735" spans="1:17" ht="12.75" customHeight="1">
      <c r="A735" s="378"/>
      <c r="B735" s="539" t="s">
        <v>731</v>
      </c>
      <c r="C735" s="380"/>
      <c r="D735" s="541"/>
      <c r="E735" s="382">
        <f t="shared" ref="E735:F735" si="597">SUM(E736:E737)</f>
        <v>218</v>
      </c>
      <c r="F735" s="382">
        <f t="shared" si="597"/>
        <v>0</v>
      </c>
      <c r="G735" s="383">
        <f t="shared" ref="G735" si="598">SUM(G736:G737)</f>
        <v>218</v>
      </c>
      <c r="H735" s="540">
        <f t="shared" ref="H735:J735" si="599">SUM(H736:H737)</f>
        <v>0</v>
      </c>
      <c r="I735" s="568">
        <f t="shared" si="599"/>
        <v>0</v>
      </c>
      <c r="J735" s="568">
        <f t="shared" si="599"/>
        <v>0</v>
      </c>
      <c r="K735" s="137">
        <f t="shared" si="525"/>
        <v>436</v>
      </c>
      <c r="L735" s="137">
        <f t="shared" si="526"/>
        <v>218</v>
      </c>
      <c r="M735" s="132"/>
      <c r="N735" s="132"/>
      <c r="O735" s="132"/>
      <c r="P735" s="132"/>
      <c r="Q735" s="139">
        <f t="shared" si="596"/>
        <v>0</v>
      </c>
    </row>
    <row r="736" spans="1:17" ht="12.75" customHeight="1">
      <c r="A736" s="392"/>
      <c r="B736" s="393"/>
      <c r="C736" s="394" t="s">
        <v>732</v>
      </c>
      <c r="D736" s="414"/>
      <c r="E736" s="396">
        <f>SUM(E732:E733)</f>
        <v>218</v>
      </c>
      <c r="F736" s="396">
        <f>SUM(F732:F733)</f>
        <v>0</v>
      </c>
      <c r="G736" s="397">
        <f>SUM(G732:G733)</f>
        <v>218</v>
      </c>
      <c r="H736" s="202">
        <f>ROUND(F736*H$7,)</f>
        <v>0</v>
      </c>
      <c r="I736" s="210">
        <f>ROUND(F736*I$7,)</f>
        <v>0</v>
      </c>
      <c r="J736" s="210">
        <f>ROUND(F736*J$7,)</f>
        <v>0</v>
      </c>
      <c r="K736" s="137">
        <f t="shared" si="525"/>
        <v>436</v>
      </c>
      <c r="L736" s="137">
        <f t="shared" si="526"/>
        <v>218</v>
      </c>
      <c r="M736" s="132"/>
      <c r="N736" s="132"/>
      <c r="O736" s="132"/>
      <c r="P736" s="132"/>
      <c r="Q736" s="139">
        <f t="shared" si="596"/>
        <v>0</v>
      </c>
    </row>
    <row r="737" spans="1:17" ht="12.75" hidden="1" customHeight="1">
      <c r="A737" s="385"/>
      <c r="B737" s="386"/>
      <c r="C737" s="387" t="s">
        <v>733</v>
      </c>
      <c r="D737" s="388"/>
      <c r="E737" s="389"/>
      <c r="F737" s="389"/>
      <c r="G737" s="390">
        <f>SUM(F737,E737)</f>
        <v>0</v>
      </c>
      <c r="H737" s="391">
        <f>ROUND(F737*H$7,)</f>
        <v>0</v>
      </c>
      <c r="I737" s="447">
        <f>ROUND(H737*I$7,)</f>
        <v>0</v>
      </c>
      <c r="J737" s="447">
        <f>ROUND(I737*J$7,)</f>
        <v>0</v>
      </c>
      <c r="K737" s="145">
        <f t="shared" si="525"/>
        <v>0</v>
      </c>
      <c r="L737" s="145">
        <f t="shared" si="526"/>
        <v>0</v>
      </c>
      <c r="M737" s="5"/>
      <c r="N737" s="5"/>
      <c r="O737" s="5"/>
      <c r="P737" s="5"/>
      <c r="Q737" s="139">
        <f t="shared" si="596"/>
        <v>0</v>
      </c>
    </row>
    <row r="738" spans="1:17" ht="24" customHeight="1">
      <c r="A738" s="960" t="s">
        <v>799</v>
      </c>
      <c r="B738" s="948"/>
      <c r="C738" s="957"/>
      <c r="D738" s="381" t="s">
        <v>800</v>
      </c>
      <c r="E738" s="375">
        <f t="shared" ref="E738:F738" si="600">SUM(E739,E740,E741)</f>
        <v>1378</v>
      </c>
      <c r="F738" s="375">
        <f t="shared" si="600"/>
        <v>0</v>
      </c>
      <c r="G738" s="376">
        <f t="shared" ref="G738:J738" si="601">SUM(G739,G740,G741)</f>
        <v>1378</v>
      </c>
      <c r="H738" s="478">
        <f t="shared" si="601"/>
        <v>0</v>
      </c>
      <c r="I738" s="531">
        <f t="shared" si="601"/>
        <v>0</v>
      </c>
      <c r="J738" s="531">
        <f t="shared" si="601"/>
        <v>0</v>
      </c>
      <c r="K738" s="137">
        <f t="shared" si="525"/>
        <v>2756</v>
      </c>
      <c r="L738" s="137">
        <f t="shared" si="526"/>
        <v>1378</v>
      </c>
      <c r="M738" s="132"/>
      <c r="N738" s="132"/>
      <c r="O738" s="132"/>
      <c r="P738" s="132"/>
      <c r="Q738" s="139">
        <f t="shared" si="596"/>
        <v>0</v>
      </c>
    </row>
    <row r="739" spans="1:17" ht="15" customHeight="1">
      <c r="A739" s="392"/>
      <c r="B739" s="393"/>
      <c r="C739" s="394" t="s">
        <v>732</v>
      </c>
      <c r="D739" s="395"/>
      <c r="E739" s="396">
        <f>280+739</f>
        <v>1019</v>
      </c>
      <c r="F739" s="396"/>
      <c r="G739" s="397">
        <f>SUM(F739,E739)</f>
        <v>1019</v>
      </c>
      <c r="H739" s="202">
        <f>ROUND(F739*H$7,)</f>
        <v>0</v>
      </c>
      <c r="I739" s="210">
        <f>ROUND(F739*I$7,)</f>
        <v>0</v>
      </c>
      <c r="J739" s="210">
        <f>ROUND(F739*J$7,)</f>
        <v>0</v>
      </c>
      <c r="K739" s="137">
        <f t="shared" si="525"/>
        <v>2038</v>
      </c>
      <c r="L739" s="137">
        <f t="shared" si="526"/>
        <v>1019</v>
      </c>
      <c r="M739" s="450">
        <v>1.1000000000000001</v>
      </c>
      <c r="N739" s="569">
        <v>300</v>
      </c>
      <c r="O739" s="132"/>
      <c r="P739" s="132"/>
      <c r="Q739" s="139">
        <f t="shared" si="596"/>
        <v>0</v>
      </c>
    </row>
    <row r="740" spans="1:17" ht="12.75" customHeight="1">
      <c r="A740" s="385"/>
      <c r="B740" s="386"/>
      <c r="C740" s="387" t="s">
        <v>733</v>
      </c>
      <c r="D740" s="388"/>
      <c r="E740" s="406">
        <f>243+116</f>
        <v>359</v>
      </c>
      <c r="F740" s="406"/>
      <c r="G740" s="390">
        <f>SUM(F740,E740)</f>
        <v>359</v>
      </c>
      <c r="H740" s="391">
        <f>ROUND(F740*H$7,)</f>
        <v>0</v>
      </c>
      <c r="I740" s="447">
        <f>ROUND(H740*I$7,)</f>
        <v>0</v>
      </c>
      <c r="J740" s="447">
        <f>ROUND(I740*J$7,)</f>
        <v>0</v>
      </c>
      <c r="K740" s="145">
        <f t="shared" si="525"/>
        <v>718</v>
      </c>
      <c r="L740" s="145">
        <f t="shared" si="526"/>
        <v>359</v>
      </c>
      <c r="M740" s="5"/>
      <c r="N740" s="5"/>
      <c r="O740" s="5"/>
      <c r="P740" s="5"/>
      <c r="Q740" s="139">
        <f t="shared" si="596"/>
        <v>0</v>
      </c>
    </row>
    <row r="741" spans="1:17" ht="12.75" hidden="1" customHeight="1">
      <c r="A741" s="385"/>
      <c r="B741" s="386"/>
      <c r="C741" s="387" t="s">
        <v>742</v>
      </c>
      <c r="D741" s="388"/>
      <c r="E741" s="406">
        <f t="shared" ref="E741:F741" si="602">SUM(E742,E743)</f>
        <v>0</v>
      </c>
      <c r="F741" s="406">
        <f t="shared" si="602"/>
        <v>0</v>
      </c>
      <c r="G741" s="542">
        <f t="shared" ref="G741:J741" si="603">SUM(G742,G743)</f>
        <v>0</v>
      </c>
      <c r="H741" s="543">
        <f t="shared" si="603"/>
        <v>0</v>
      </c>
      <c r="I741" s="570">
        <f t="shared" si="603"/>
        <v>0</v>
      </c>
      <c r="J741" s="570">
        <f t="shared" si="603"/>
        <v>0</v>
      </c>
      <c r="K741" s="145">
        <f t="shared" si="525"/>
        <v>0</v>
      </c>
      <c r="L741" s="145">
        <f t="shared" si="526"/>
        <v>0</v>
      </c>
      <c r="M741" s="5"/>
      <c r="N741" s="5"/>
      <c r="O741" s="5"/>
      <c r="P741" s="5"/>
      <c r="Q741" s="139">
        <f t="shared" si="596"/>
        <v>0</v>
      </c>
    </row>
    <row r="742" spans="1:17" ht="12.75" hidden="1" customHeight="1">
      <c r="A742" s="385"/>
      <c r="B742" s="386"/>
      <c r="C742" s="387" t="s">
        <v>732</v>
      </c>
      <c r="D742" s="388"/>
      <c r="E742" s="389"/>
      <c r="F742" s="389"/>
      <c r="G742" s="390">
        <f>SUM(F742,E742)</f>
        <v>0</v>
      </c>
      <c r="H742" s="391"/>
      <c r="I742" s="447"/>
      <c r="J742" s="447"/>
      <c r="K742" s="145">
        <f t="shared" si="525"/>
        <v>0</v>
      </c>
      <c r="L742" s="145">
        <f t="shared" si="526"/>
        <v>0</v>
      </c>
      <c r="M742" s="5"/>
      <c r="N742" s="5"/>
      <c r="O742" s="5"/>
      <c r="P742" s="5"/>
      <c r="Q742" s="139">
        <f t="shared" si="596"/>
        <v>0</v>
      </c>
    </row>
    <row r="743" spans="1:17" ht="12.75" hidden="1" customHeight="1">
      <c r="A743" s="385"/>
      <c r="B743" s="386"/>
      <c r="C743" s="387" t="s">
        <v>733</v>
      </c>
      <c r="D743" s="388"/>
      <c r="E743" s="389"/>
      <c r="F743" s="389"/>
      <c r="G743" s="390">
        <f>SUM(F743,E743)</f>
        <v>0</v>
      </c>
      <c r="H743" s="391"/>
      <c r="I743" s="447"/>
      <c r="J743" s="447"/>
      <c r="K743" s="145">
        <f t="shared" si="525"/>
        <v>0</v>
      </c>
      <c r="L743" s="145">
        <f t="shared" si="526"/>
        <v>0</v>
      </c>
      <c r="M743" s="5"/>
      <c r="N743" s="5"/>
      <c r="O743" s="5"/>
      <c r="P743" s="5"/>
      <c r="Q743" s="139">
        <f t="shared" si="596"/>
        <v>0</v>
      </c>
    </row>
    <row r="744" spans="1:17" ht="30.75" customHeight="1">
      <c r="A744" s="960" t="s">
        <v>801</v>
      </c>
      <c r="B744" s="948"/>
      <c r="C744" s="948"/>
      <c r="D744" s="374" t="s">
        <v>802</v>
      </c>
      <c r="E744" s="375">
        <f t="shared" ref="E744:F744" si="604">SUM(E750)</f>
        <v>8081</v>
      </c>
      <c r="F744" s="375">
        <f t="shared" si="604"/>
        <v>0</v>
      </c>
      <c r="G744" s="376">
        <f t="shared" ref="G744:J744" si="605">SUM(G750)</f>
        <v>8081</v>
      </c>
      <c r="H744" s="478">
        <f t="shared" si="605"/>
        <v>0</v>
      </c>
      <c r="I744" s="531">
        <f t="shared" si="605"/>
        <v>0</v>
      </c>
      <c r="J744" s="531">
        <f t="shared" si="605"/>
        <v>0</v>
      </c>
      <c r="K744" s="137">
        <f t="shared" si="525"/>
        <v>16162</v>
      </c>
      <c r="L744" s="137">
        <f t="shared" si="526"/>
        <v>8081</v>
      </c>
      <c r="M744" s="132"/>
      <c r="N744" s="132"/>
      <c r="O744" s="132"/>
      <c r="P744" s="132"/>
      <c r="Q744" s="139">
        <f t="shared" si="596"/>
        <v>0</v>
      </c>
    </row>
    <row r="745" spans="1:17" ht="12.75" hidden="1" customHeight="1">
      <c r="A745" s="544"/>
      <c r="B745" s="545" t="s">
        <v>731</v>
      </c>
      <c r="C745" s="546"/>
      <c r="D745" s="547"/>
      <c r="E745" s="548"/>
      <c r="F745" s="548"/>
      <c r="G745" s="549"/>
      <c r="H745" s="550">
        <f>ROUND(F745*H$7,)</f>
        <v>0</v>
      </c>
      <c r="I745" s="571">
        <f>ROUND(H745*I$7,)</f>
        <v>0</v>
      </c>
      <c r="J745" s="571">
        <f>ROUND(I745*J$7,)</f>
        <v>0</v>
      </c>
      <c r="K745" s="145">
        <f t="shared" si="525"/>
        <v>0</v>
      </c>
      <c r="L745" s="145">
        <f t="shared" si="526"/>
        <v>0</v>
      </c>
      <c r="M745" s="5"/>
      <c r="N745" s="5"/>
      <c r="O745" s="5"/>
      <c r="P745" s="5"/>
      <c r="Q745" s="139">
        <f t="shared" si="596"/>
        <v>0</v>
      </c>
    </row>
    <row r="746" spans="1:17" ht="63.75" hidden="1" customHeight="1">
      <c r="A746" s="544"/>
      <c r="B746" s="551"/>
      <c r="C746" s="190" t="s">
        <v>803</v>
      </c>
      <c r="D746" s="503"/>
      <c r="E746" s="548"/>
      <c r="F746" s="548"/>
      <c r="G746" s="549">
        <f>SUM(F746,E746)</f>
        <v>0</v>
      </c>
      <c r="H746" s="550">
        <f>ROUND(F746*H$7,)</f>
        <v>0</v>
      </c>
      <c r="I746" s="571">
        <f>ROUND(F746*I$7,)</f>
        <v>0</v>
      </c>
      <c r="J746" s="571">
        <f>ROUND(F746*J$7,)</f>
        <v>0</v>
      </c>
      <c r="K746" s="145">
        <f t="shared" si="525"/>
        <v>0</v>
      </c>
      <c r="L746" s="145">
        <f t="shared" si="526"/>
        <v>0</v>
      </c>
      <c r="M746" s="5"/>
      <c r="N746" s="5"/>
      <c r="O746" s="5"/>
      <c r="P746" s="5"/>
      <c r="Q746" s="139">
        <f t="shared" si="596"/>
        <v>0</v>
      </c>
    </row>
    <row r="747" spans="1:17" ht="63.75" hidden="1" customHeight="1">
      <c r="A747" s="544"/>
      <c r="B747" s="551"/>
      <c r="C747" s="190" t="s">
        <v>804</v>
      </c>
      <c r="D747" s="503"/>
      <c r="E747" s="548"/>
      <c r="F747" s="548"/>
      <c r="G747" s="549">
        <f>SUM(F747,E747)</f>
        <v>0</v>
      </c>
      <c r="H747" s="550">
        <f>ROUND(F747*H$7,)</f>
        <v>0</v>
      </c>
      <c r="I747" s="571">
        <f>ROUND(F747*I$7,)</f>
        <v>0</v>
      </c>
      <c r="J747" s="571">
        <f>ROUND(F747*J$7,)</f>
        <v>0</v>
      </c>
      <c r="K747" s="145">
        <f t="shared" si="525"/>
        <v>0</v>
      </c>
      <c r="L747" s="145">
        <f t="shared" si="526"/>
        <v>0</v>
      </c>
      <c r="M747" s="5"/>
      <c r="N747" s="5"/>
      <c r="O747" s="5"/>
      <c r="P747" s="5"/>
      <c r="Q747" s="139">
        <f t="shared" si="596"/>
        <v>0</v>
      </c>
    </row>
    <row r="748" spans="1:17" ht="25.5" customHeight="1">
      <c r="A748" s="416"/>
      <c r="B748" s="552"/>
      <c r="C748" s="198" t="s">
        <v>273</v>
      </c>
      <c r="D748" s="495"/>
      <c r="E748" s="396">
        <v>8081</v>
      </c>
      <c r="F748" s="396"/>
      <c r="G748" s="420">
        <f>SUM(F748,E748)</f>
        <v>8081</v>
      </c>
      <c r="H748" s="550">
        <f>ROUND(F748*H$7,)</f>
        <v>0</v>
      </c>
      <c r="I748" s="571">
        <f>ROUND(F748*I$7,)</f>
        <v>0</v>
      </c>
      <c r="J748" s="571">
        <f>ROUND(F748*J$7,)</f>
        <v>0</v>
      </c>
      <c r="K748" s="137">
        <f t="shared" si="525"/>
        <v>16162</v>
      </c>
      <c r="L748" s="137">
        <f t="shared" si="526"/>
        <v>8081</v>
      </c>
      <c r="M748" s="132"/>
      <c r="N748" s="132"/>
      <c r="O748" s="132"/>
      <c r="P748" s="132"/>
      <c r="Q748" s="139">
        <f t="shared" si="596"/>
        <v>0</v>
      </c>
    </row>
    <row r="749" spans="1:17" ht="12.75" hidden="1" customHeight="1">
      <c r="A749" s="385"/>
      <c r="B749" s="386"/>
      <c r="C749" s="387" t="s">
        <v>742</v>
      </c>
      <c r="D749" s="388"/>
      <c r="E749" s="415"/>
      <c r="F749" s="415"/>
      <c r="G749" s="542">
        <f>SUM(F749,E749)</f>
        <v>0</v>
      </c>
      <c r="H749" s="543">
        <f>SUM(H750,H751)</f>
        <v>0</v>
      </c>
      <c r="I749" s="570">
        <f>SUM(I750,I751)</f>
        <v>0</v>
      </c>
      <c r="J749" s="570">
        <f>SUM(J750,J751)</f>
        <v>0</v>
      </c>
      <c r="K749" s="145">
        <f t="shared" si="525"/>
        <v>0</v>
      </c>
      <c r="L749" s="145">
        <f t="shared" si="526"/>
        <v>0</v>
      </c>
      <c r="M749" s="5"/>
      <c r="N749" s="5"/>
      <c r="O749" s="5"/>
      <c r="P749" s="5"/>
      <c r="Q749" s="139">
        <f t="shared" si="596"/>
        <v>0</v>
      </c>
    </row>
    <row r="750" spans="1:17" ht="12.75" customHeight="1">
      <c r="A750" s="392"/>
      <c r="B750" s="393"/>
      <c r="C750" s="394" t="s">
        <v>732</v>
      </c>
      <c r="D750" s="395"/>
      <c r="E750" s="396">
        <f>E748</f>
        <v>8081</v>
      </c>
      <c r="F750" s="396">
        <f>F748</f>
        <v>0</v>
      </c>
      <c r="G750" s="397">
        <f>SUM(F750,E750)</f>
        <v>8081</v>
      </c>
      <c r="H750" s="399">
        <f>ROUND(F750*H$7,)</f>
        <v>0</v>
      </c>
      <c r="I750" s="449">
        <f>ROUND(F750*I$7,)</f>
        <v>0</v>
      </c>
      <c r="J750" s="449">
        <f>ROUND(F750*J$7,)</f>
        <v>0</v>
      </c>
      <c r="K750" s="137">
        <f t="shared" si="525"/>
        <v>16162</v>
      </c>
      <c r="L750" s="137">
        <f t="shared" si="526"/>
        <v>8081</v>
      </c>
      <c r="M750" s="132"/>
      <c r="N750" s="132"/>
      <c r="O750" s="132"/>
      <c r="P750" s="132"/>
      <c r="Q750" s="139">
        <f t="shared" si="596"/>
        <v>0</v>
      </c>
    </row>
    <row r="751" spans="1:17" ht="51" customHeight="1">
      <c r="A751" s="960" t="s">
        <v>805</v>
      </c>
      <c r="B751" s="948"/>
      <c r="C751" s="948"/>
      <c r="D751" s="553"/>
      <c r="E751" s="519">
        <f>SUM(E753:E754)</f>
        <v>243</v>
      </c>
      <c r="F751" s="519">
        <f>SUM(F753:F754)</f>
        <v>0</v>
      </c>
      <c r="G751" s="430">
        <f t="shared" ref="G751:J751" si="606">SUM(G753:G754)</f>
        <v>243</v>
      </c>
      <c r="H751" s="431">
        <f t="shared" si="606"/>
        <v>0</v>
      </c>
      <c r="I751" s="456">
        <f t="shared" si="606"/>
        <v>0</v>
      </c>
      <c r="J751" s="456">
        <f t="shared" si="606"/>
        <v>0</v>
      </c>
      <c r="K751" s="145">
        <f t="shared" si="525"/>
        <v>486</v>
      </c>
      <c r="L751" s="145">
        <f t="shared" si="526"/>
        <v>243</v>
      </c>
      <c r="M751" s="5"/>
      <c r="N751" s="5"/>
      <c r="O751" s="5"/>
      <c r="P751" s="5"/>
      <c r="Q751" s="139">
        <f t="shared" si="596"/>
        <v>0</v>
      </c>
    </row>
    <row r="752" spans="1:17" ht="12.75" hidden="1" customHeight="1">
      <c r="A752" s="544"/>
      <c r="B752" s="545" t="s">
        <v>731</v>
      </c>
      <c r="C752" s="546"/>
      <c r="D752" s="547"/>
      <c r="E752" s="548"/>
      <c r="F752" s="548"/>
      <c r="G752" s="549">
        <f>SUM(F752,E752)</f>
        <v>0</v>
      </c>
      <c r="H752" s="550">
        <f>ROUND(F752*H$7,)</f>
        <v>0</v>
      </c>
      <c r="I752" s="571">
        <f t="shared" ref="I752:J754" si="607">ROUND(H752*I$7,)</f>
        <v>0</v>
      </c>
      <c r="J752" s="571">
        <f t="shared" si="607"/>
        <v>0</v>
      </c>
      <c r="K752" s="145">
        <f>SUM(E752:G752)</f>
        <v>0</v>
      </c>
      <c r="L752" s="145">
        <f t="shared" si="526"/>
        <v>0</v>
      </c>
      <c r="M752" s="5"/>
      <c r="N752" s="5"/>
      <c r="O752" s="5"/>
      <c r="P752" s="5"/>
      <c r="Q752" s="139">
        <f>E752-G752</f>
        <v>0</v>
      </c>
    </row>
    <row r="753" spans="1:17" ht="12.75" hidden="1" customHeight="1">
      <c r="A753" s="385"/>
      <c r="B753" s="386"/>
      <c r="C753" s="387" t="s">
        <v>732</v>
      </c>
      <c r="D753" s="388"/>
      <c r="E753" s="192"/>
      <c r="F753" s="192"/>
      <c r="G753" s="390">
        <f>SUM(F753,E753)</f>
        <v>0</v>
      </c>
      <c r="H753" s="554">
        <f>ROUND(F753*H$7,)</f>
        <v>0</v>
      </c>
      <c r="I753" s="572">
        <f t="shared" si="607"/>
        <v>0</v>
      </c>
      <c r="J753" s="572">
        <f t="shared" si="607"/>
        <v>0</v>
      </c>
      <c r="K753" s="145">
        <f t="shared" si="525"/>
        <v>0</v>
      </c>
      <c r="L753" s="145">
        <f t="shared" si="526"/>
        <v>0</v>
      </c>
      <c r="M753" s="5"/>
      <c r="N753" s="5"/>
      <c r="O753" s="5"/>
      <c r="P753" s="5"/>
      <c r="Q753" s="139">
        <f t="shared" si="596"/>
        <v>0</v>
      </c>
    </row>
    <row r="754" spans="1:17" ht="12.75" customHeight="1">
      <c r="A754" s="392"/>
      <c r="B754" s="393"/>
      <c r="C754" s="394" t="s">
        <v>733</v>
      </c>
      <c r="D754" s="414"/>
      <c r="E754" s="555">
        <v>243</v>
      </c>
      <c r="F754" s="555"/>
      <c r="G754" s="390">
        <f>SUM(F754,E754)</f>
        <v>243</v>
      </c>
      <c r="H754" s="391">
        <f>ROUND(F754*H$7,)</f>
        <v>0</v>
      </c>
      <c r="I754" s="447">
        <f t="shared" si="607"/>
        <v>0</v>
      </c>
      <c r="J754" s="447">
        <f t="shared" si="607"/>
        <v>0</v>
      </c>
      <c r="K754" s="145">
        <f t="shared" si="525"/>
        <v>486</v>
      </c>
      <c r="L754" s="145">
        <f t="shared" si="526"/>
        <v>243</v>
      </c>
      <c r="M754" s="5"/>
      <c r="N754" s="5"/>
      <c r="O754" s="5"/>
      <c r="P754" s="5"/>
      <c r="Q754" s="139">
        <f t="shared" si="596"/>
        <v>0</v>
      </c>
    </row>
    <row r="755" spans="1:17" ht="12.75" hidden="1" customHeight="1">
      <c r="A755" s="556" t="s">
        <v>806</v>
      </c>
      <c r="B755" s="426"/>
      <c r="C755" s="427"/>
      <c r="D755" s="557" t="s">
        <v>807</v>
      </c>
      <c r="E755" s="519">
        <f>SUM(E757:E758)</f>
        <v>0</v>
      </c>
      <c r="F755" s="429">
        <f t="shared" ref="F755" si="608">SUM(F757:F758)</f>
        <v>0</v>
      </c>
      <c r="G755" s="430">
        <f t="shared" ref="G755:J755" si="609">SUM(G757:G758)</f>
        <v>0</v>
      </c>
      <c r="H755" s="431">
        <f t="shared" si="609"/>
        <v>0</v>
      </c>
      <c r="I755" s="456">
        <f t="shared" si="609"/>
        <v>0</v>
      </c>
      <c r="J755" s="456">
        <f t="shared" si="609"/>
        <v>0</v>
      </c>
      <c r="K755" s="145">
        <f t="shared" si="525"/>
        <v>0</v>
      </c>
      <c r="L755" s="145">
        <f t="shared" si="526"/>
        <v>0</v>
      </c>
      <c r="M755" s="5"/>
      <c r="N755" s="5"/>
      <c r="O755" s="5"/>
      <c r="P755" s="5"/>
      <c r="Q755" s="139">
        <f t="shared" si="596"/>
        <v>0</v>
      </c>
    </row>
    <row r="756" spans="1:17" ht="12.75" hidden="1" customHeight="1">
      <c r="A756" s="544"/>
      <c r="B756" s="545" t="s">
        <v>731</v>
      </c>
      <c r="C756" s="546"/>
      <c r="D756" s="547"/>
      <c r="E756" s="548"/>
      <c r="F756" s="548"/>
      <c r="G756" s="549">
        <f>SUM(F756,E756)</f>
        <v>0</v>
      </c>
      <c r="H756" s="550">
        <f>ROUND(F756*H$7,)</f>
        <v>0</v>
      </c>
      <c r="I756" s="571">
        <f t="shared" ref="I756:J758" si="610">ROUND(H756*I$7,)</f>
        <v>0</v>
      </c>
      <c r="J756" s="571">
        <f t="shared" si="610"/>
        <v>0</v>
      </c>
      <c r="K756" s="145">
        <f t="shared" si="525"/>
        <v>0</v>
      </c>
      <c r="L756" s="145">
        <f t="shared" si="526"/>
        <v>0</v>
      </c>
      <c r="M756" s="5"/>
      <c r="N756" s="5"/>
      <c r="O756" s="5"/>
      <c r="P756" s="5"/>
      <c r="Q756" s="139">
        <f t="shared" si="596"/>
        <v>0</v>
      </c>
    </row>
    <row r="757" spans="1:17" ht="12.75" hidden="1" customHeight="1">
      <c r="A757" s="385"/>
      <c r="B757" s="386"/>
      <c r="C757" s="387" t="s">
        <v>732</v>
      </c>
      <c r="D757" s="403"/>
      <c r="E757" s="192"/>
      <c r="F757" s="192"/>
      <c r="G757" s="390">
        <f>SUM(F757,E757)</f>
        <v>0</v>
      </c>
      <c r="H757" s="554">
        <f>ROUND(F757*H$7,)</f>
        <v>0</v>
      </c>
      <c r="I757" s="572">
        <f t="shared" si="610"/>
        <v>0</v>
      </c>
      <c r="J757" s="572">
        <f t="shared" si="610"/>
        <v>0</v>
      </c>
      <c r="K757" s="145">
        <f t="shared" si="525"/>
        <v>0</v>
      </c>
      <c r="L757" s="145">
        <f t="shared" si="526"/>
        <v>0</v>
      </c>
      <c r="M757" s="5"/>
      <c r="N757" s="5"/>
      <c r="O757" s="5"/>
      <c r="P757" s="5"/>
      <c r="Q757" s="139">
        <f t="shared" si="596"/>
        <v>0</v>
      </c>
    </row>
    <row r="758" spans="1:17" ht="12.75" hidden="1" customHeight="1">
      <c r="A758" s="385"/>
      <c r="B758" s="386"/>
      <c r="C758" s="387" t="s">
        <v>733</v>
      </c>
      <c r="D758" s="388"/>
      <c r="E758" s="389"/>
      <c r="F758" s="389"/>
      <c r="G758" s="390">
        <f>SUM(F758,E758)</f>
        <v>0</v>
      </c>
      <c r="H758" s="391">
        <f>ROUND(F758*H$7,)</f>
        <v>0</v>
      </c>
      <c r="I758" s="447">
        <f t="shared" si="610"/>
        <v>0</v>
      </c>
      <c r="J758" s="447">
        <f t="shared" si="610"/>
        <v>0</v>
      </c>
      <c r="K758" s="145">
        <f t="shared" si="525"/>
        <v>0</v>
      </c>
      <c r="L758" s="145">
        <f t="shared" si="526"/>
        <v>0</v>
      </c>
      <c r="M758" s="5"/>
      <c r="N758" s="5"/>
      <c r="O758" s="5"/>
      <c r="P758" s="5"/>
      <c r="Q758" s="139">
        <f t="shared" si="596"/>
        <v>0</v>
      </c>
    </row>
    <row r="759" spans="1:17" ht="12.75" hidden="1" customHeight="1">
      <c r="A759" s="425" t="s">
        <v>808</v>
      </c>
      <c r="B759" s="426"/>
      <c r="C759" s="427"/>
      <c r="D759" s="558" t="s">
        <v>807</v>
      </c>
      <c r="E759" s="429">
        <f t="shared" ref="E759:F759" si="611">SUM(E761:E762)</f>
        <v>0</v>
      </c>
      <c r="F759" s="429">
        <f t="shared" si="611"/>
        <v>0</v>
      </c>
      <c r="G759" s="430">
        <f t="shared" ref="G759:J759" si="612">SUM(G761:G762)</f>
        <v>0</v>
      </c>
      <c r="H759" s="431">
        <f t="shared" si="612"/>
        <v>0</v>
      </c>
      <c r="I759" s="456">
        <f t="shared" si="612"/>
        <v>0</v>
      </c>
      <c r="J759" s="456">
        <f t="shared" si="612"/>
        <v>0</v>
      </c>
      <c r="K759" s="145">
        <f t="shared" si="525"/>
        <v>0</v>
      </c>
      <c r="L759" s="145">
        <f t="shared" si="526"/>
        <v>0</v>
      </c>
      <c r="M759" s="5"/>
      <c r="N759" s="5"/>
      <c r="O759" s="5"/>
      <c r="P759" s="5"/>
      <c r="Q759" s="139">
        <f t="shared" si="596"/>
        <v>0</v>
      </c>
    </row>
    <row r="760" spans="1:17" ht="12.75" hidden="1" customHeight="1">
      <c r="A760" s="544"/>
      <c r="B760" s="545" t="s">
        <v>731</v>
      </c>
      <c r="C760" s="546"/>
      <c r="D760" s="547"/>
      <c r="E760" s="548"/>
      <c r="F760" s="548"/>
      <c r="G760" s="549">
        <f>SUM(F760,E760)</f>
        <v>0</v>
      </c>
      <c r="H760" s="550">
        <f>ROUND(F760*H$7,)</f>
        <v>0</v>
      </c>
      <c r="I760" s="571">
        <f t="shared" ref="I760:J762" si="613">ROUND(H760*I$7,)</f>
        <v>0</v>
      </c>
      <c r="J760" s="571">
        <f t="shared" si="613"/>
        <v>0</v>
      </c>
      <c r="K760" s="145">
        <f t="shared" si="525"/>
        <v>0</v>
      </c>
      <c r="L760" s="145">
        <f t="shared" si="526"/>
        <v>0</v>
      </c>
      <c r="M760" s="5"/>
      <c r="N760" s="5"/>
      <c r="O760" s="5"/>
      <c r="P760" s="5"/>
      <c r="Q760" s="139">
        <f t="shared" si="596"/>
        <v>0</v>
      </c>
    </row>
    <row r="761" spans="1:17" ht="12.75" hidden="1" customHeight="1">
      <c r="A761" s="385"/>
      <c r="B761" s="386"/>
      <c r="C761" s="387" t="s">
        <v>732</v>
      </c>
      <c r="D761" s="403"/>
      <c r="E761" s="192"/>
      <c r="F761" s="192"/>
      <c r="G761" s="390">
        <f>SUM(F761,E761)</f>
        <v>0</v>
      </c>
      <c r="H761" s="554">
        <f>ROUND(F761*H$7,)</f>
        <v>0</v>
      </c>
      <c r="I761" s="572">
        <f t="shared" si="613"/>
        <v>0</v>
      </c>
      <c r="J761" s="572">
        <f t="shared" si="613"/>
        <v>0</v>
      </c>
      <c r="K761" s="145">
        <f t="shared" si="525"/>
        <v>0</v>
      </c>
      <c r="L761" s="145">
        <f t="shared" si="526"/>
        <v>0</v>
      </c>
      <c r="M761" s="5"/>
      <c r="N761" s="5"/>
      <c r="O761" s="5"/>
      <c r="P761" s="5"/>
      <c r="Q761" s="139">
        <f t="shared" si="596"/>
        <v>0</v>
      </c>
    </row>
    <row r="762" spans="1:17" ht="12.75" hidden="1" customHeight="1">
      <c r="A762" s="385"/>
      <c r="B762" s="386"/>
      <c r="C762" s="387" t="s">
        <v>733</v>
      </c>
      <c r="D762" s="388"/>
      <c r="E762" s="389"/>
      <c r="F762" s="389"/>
      <c r="G762" s="390">
        <f>SUM(F762,E762)</f>
        <v>0</v>
      </c>
      <c r="H762" s="391">
        <f>ROUND(F762*H$7,)</f>
        <v>0</v>
      </c>
      <c r="I762" s="447">
        <f t="shared" si="613"/>
        <v>0</v>
      </c>
      <c r="J762" s="447">
        <f t="shared" si="613"/>
        <v>0</v>
      </c>
      <c r="K762" s="145">
        <f t="shared" si="525"/>
        <v>0</v>
      </c>
      <c r="L762" s="145">
        <f t="shared" si="526"/>
        <v>0</v>
      </c>
      <c r="M762" s="5"/>
      <c r="N762" s="5"/>
      <c r="O762" s="5"/>
      <c r="P762" s="5"/>
      <c r="Q762" s="139">
        <f t="shared" si="596"/>
        <v>0</v>
      </c>
    </row>
    <row r="763" spans="1:17" ht="24" hidden="1" customHeight="1">
      <c r="A763" s="425" t="s">
        <v>809</v>
      </c>
      <c r="B763" s="426"/>
      <c r="C763" s="427"/>
      <c r="D763" s="557" t="s">
        <v>810</v>
      </c>
      <c r="E763" s="429">
        <f t="shared" ref="E763:F763" si="614">SUM(E764)</f>
        <v>0</v>
      </c>
      <c r="F763" s="429">
        <f t="shared" si="614"/>
        <v>0</v>
      </c>
      <c r="G763" s="430">
        <f t="shared" ref="G763:J763" si="615">SUM(G764)</f>
        <v>0</v>
      </c>
      <c r="H763" s="559">
        <f t="shared" si="615"/>
        <v>0</v>
      </c>
      <c r="I763" s="573">
        <f t="shared" si="615"/>
        <v>0</v>
      </c>
      <c r="J763" s="573">
        <f t="shared" si="615"/>
        <v>0</v>
      </c>
      <c r="K763" s="145">
        <f t="shared" si="525"/>
        <v>0</v>
      </c>
      <c r="L763" s="145">
        <f t="shared" si="526"/>
        <v>0</v>
      </c>
      <c r="M763" s="5"/>
      <c r="N763" s="5"/>
      <c r="O763" s="5"/>
      <c r="P763" s="5"/>
      <c r="Q763" s="139">
        <f t="shared" si="596"/>
        <v>0</v>
      </c>
    </row>
    <row r="764" spans="1:17" ht="12.75" hidden="1" customHeight="1">
      <c r="A764" s="385"/>
      <c r="B764" s="386"/>
      <c r="C764" s="387" t="s">
        <v>733</v>
      </c>
      <c r="D764" s="403"/>
      <c r="E764" s="415"/>
      <c r="F764" s="415"/>
      <c r="G764" s="390">
        <f>SUM(F764,E764)</f>
        <v>0</v>
      </c>
      <c r="H764" s="391"/>
      <c r="I764" s="447"/>
      <c r="J764" s="447"/>
      <c r="K764" s="145">
        <f t="shared" si="525"/>
        <v>0</v>
      </c>
      <c r="L764" s="145">
        <f t="shared" si="526"/>
        <v>0</v>
      </c>
      <c r="M764" s="5"/>
      <c r="N764" s="5"/>
      <c r="O764" s="5"/>
      <c r="P764" s="5"/>
      <c r="Q764" s="139">
        <f t="shared" si="596"/>
        <v>0</v>
      </c>
    </row>
    <row r="765" spans="1:17" ht="12.75" customHeight="1">
      <c r="A765" s="350" t="s">
        <v>811</v>
      </c>
      <c r="B765" s="351"/>
      <c r="C765" s="352"/>
      <c r="D765" s="353"/>
      <c r="E765" s="369">
        <f>SUM(E769,E772,E775,E778,E781,E786,E789,E822,E792,E784,E825)</f>
        <v>56127.5</v>
      </c>
      <c r="F765" s="369">
        <f>SUM(F769,F772,F775,F778,F781,F786,F789,F822,F792,F784,F825)</f>
        <v>0</v>
      </c>
      <c r="G765" s="370">
        <f t="shared" ref="G765:J765" si="616">SUM(G769,G772,G775,G778,G781,G786,G789,G822,G792,G784,G825)</f>
        <v>56127.5</v>
      </c>
      <c r="H765" s="356">
        <f t="shared" si="616"/>
        <v>0</v>
      </c>
      <c r="I765" s="442">
        <f t="shared" si="616"/>
        <v>0</v>
      </c>
      <c r="J765" s="442">
        <f t="shared" si="616"/>
        <v>0</v>
      </c>
      <c r="K765" s="137">
        <f t="shared" si="525"/>
        <v>112255</v>
      </c>
      <c r="L765" s="137">
        <f t="shared" si="526"/>
        <v>56127.5</v>
      </c>
      <c r="M765" s="132"/>
      <c r="N765" s="132"/>
      <c r="O765" s="132"/>
      <c r="P765" s="132"/>
      <c r="Q765" s="139">
        <f t="shared" si="596"/>
        <v>0</v>
      </c>
    </row>
    <row r="766" spans="1:17" ht="12.75" customHeight="1">
      <c r="A766" s="432"/>
      <c r="B766" s="433" t="s">
        <v>756</v>
      </c>
      <c r="C766" s="434"/>
      <c r="D766" s="435"/>
      <c r="E766" s="436">
        <f t="shared" ref="E766:F766" si="617">SUM(E767:E768)</f>
        <v>56127.5</v>
      </c>
      <c r="F766" s="436">
        <f t="shared" si="617"/>
        <v>0</v>
      </c>
      <c r="G766" s="437">
        <f t="shared" ref="G766:J766" si="618">SUM(G767:G768)</f>
        <v>56127.5</v>
      </c>
      <c r="H766" s="438">
        <f t="shared" si="618"/>
        <v>0</v>
      </c>
      <c r="I766" s="457">
        <f t="shared" si="618"/>
        <v>0</v>
      </c>
      <c r="J766" s="457">
        <f t="shared" si="618"/>
        <v>0</v>
      </c>
      <c r="K766" s="137">
        <f t="shared" si="525"/>
        <v>112255</v>
      </c>
      <c r="L766" s="137">
        <f t="shared" si="526"/>
        <v>56127.5</v>
      </c>
      <c r="M766" s="132"/>
      <c r="N766" s="132"/>
      <c r="O766" s="132"/>
      <c r="P766" s="132"/>
      <c r="Q766" s="139">
        <f t="shared" si="596"/>
        <v>0</v>
      </c>
    </row>
    <row r="767" spans="1:17" ht="12.75" customHeight="1">
      <c r="A767" s="432"/>
      <c r="B767" s="433" t="s">
        <v>732</v>
      </c>
      <c r="C767" s="434"/>
      <c r="D767" s="435"/>
      <c r="E767" s="510">
        <f>SUM(E770,E773,E776,E779,E782,E787,E790,E823,E820)</f>
        <v>6500</v>
      </c>
      <c r="F767" s="510">
        <f t="shared" ref="F767" si="619">SUM(F770,F773,F776,F779,F782,F787,F790,F823,F820)</f>
        <v>0</v>
      </c>
      <c r="G767" s="511">
        <f t="shared" ref="G767:J767" si="620">SUM(G770,G773,G776,G779,G782,G787,G790,G823,G820)</f>
        <v>6500</v>
      </c>
      <c r="H767" s="560">
        <f t="shared" si="620"/>
        <v>0</v>
      </c>
      <c r="I767" s="574">
        <f t="shared" si="620"/>
        <v>0</v>
      </c>
      <c r="J767" s="574">
        <f t="shared" si="620"/>
        <v>0</v>
      </c>
      <c r="K767" s="137">
        <f t="shared" si="525"/>
        <v>13000</v>
      </c>
      <c r="L767" s="137">
        <f t="shared" si="526"/>
        <v>6500</v>
      </c>
      <c r="M767" s="132"/>
      <c r="N767" s="132"/>
      <c r="O767" s="132"/>
      <c r="P767" s="132"/>
      <c r="Q767" s="139">
        <f t="shared" si="596"/>
        <v>0</v>
      </c>
    </row>
    <row r="768" spans="1:17" ht="12.75" customHeight="1">
      <c r="A768" s="432"/>
      <c r="B768" s="433" t="s">
        <v>733</v>
      </c>
      <c r="C768" s="434"/>
      <c r="D768" s="435"/>
      <c r="E768" s="436">
        <f>SUM(E771,E774,E777,E780,E783,E788,E791,E824,E821,E785,E826)</f>
        <v>49627.5</v>
      </c>
      <c r="F768" s="436">
        <f t="shared" ref="F768" si="621">SUM(F771,F774,F777,F780,F783,F788,F791,F824,F821,F785,F826)</f>
        <v>0</v>
      </c>
      <c r="G768" s="437">
        <f t="shared" ref="G768:J768" si="622">SUM(G771,G774,G777,G780,G783,G788,G791,G824,G821,G785,G826)</f>
        <v>49627.5</v>
      </c>
      <c r="H768" s="438">
        <f t="shared" si="622"/>
        <v>0</v>
      </c>
      <c r="I768" s="457">
        <f t="shared" si="622"/>
        <v>0</v>
      </c>
      <c r="J768" s="457">
        <f t="shared" si="622"/>
        <v>0</v>
      </c>
      <c r="K768" s="137">
        <f t="shared" si="525"/>
        <v>99255</v>
      </c>
      <c r="L768" s="137">
        <f t="shared" si="526"/>
        <v>49627.5</v>
      </c>
      <c r="M768" s="132"/>
      <c r="N768" s="132"/>
      <c r="O768" s="132"/>
      <c r="P768" s="132"/>
      <c r="Q768" s="139">
        <f t="shared" si="596"/>
        <v>0</v>
      </c>
    </row>
    <row r="769" spans="1:17" ht="24" customHeight="1">
      <c r="A769" s="378" t="s">
        <v>812</v>
      </c>
      <c r="B769" s="379"/>
      <c r="C769" s="380"/>
      <c r="D769" s="381" t="s">
        <v>813</v>
      </c>
      <c r="E769" s="382">
        <f>SUM(E771,E770)</f>
        <v>6000</v>
      </c>
      <c r="F769" s="382">
        <f t="shared" ref="F769" si="623">SUM(F771,F770)</f>
        <v>0</v>
      </c>
      <c r="G769" s="383">
        <f t="shared" ref="G769:J769" si="624">SUM(G771,G770)</f>
        <v>6000</v>
      </c>
      <c r="H769" s="384">
        <f t="shared" si="624"/>
        <v>0</v>
      </c>
      <c r="I769" s="446">
        <f t="shared" si="624"/>
        <v>0</v>
      </c>
      <c r="J769" s="446">
        <f t="shared" si="624"/>
        <v>0</v>
      </c>
      <c r="K769" s="137">
        <f t="shared" si="525"/>
        <v>12000</v>
      </c>
      <c r="L769" s="137">
        <f t="shared" si="526"/>
        <v>6000</v>
      </c>
      <c r="M769" s="132"/>
      <c r="N769" s="132"/>
      <c r="O769" s="132"/>
      <c r="P769" s="132"/>
      <c r="Q769" s="139">
        <f t="shared" si="596"/>
        <v>0</v>
      </c>
    </row>
    <row r="770" spans="1:17" ht="12.75" customHeight="1">
      <c r="A770" s="392"/>
      <c r="B770" s="393"/>
      <c r="C770" s="394" t="s">
        <v>732</v>
      </c>
      <c r="D770" s="395"/>
      <c r="E770" s="396">
        <v>3000</v>
      </c>
      <c r="F770" s="396"/>
      <c r="G770" s="397">
        <f>SUM(F770,E770)</f>
        <v>3000</v>
      </c>
      <c r="H770" s="391">
        <f>ROUND(F770*H$7,)</f>
        <v>0</v>
      </c>
      <c r="I770" s="447">
        <f>ROUND(F770*I$7,)</f>
        <v>0</v>
      </c>
      <c r="J770" s="447">
        <f>ROUND(F770*J$7,)</f>
        <v>0</v>
      </c>
      <c r="K770" s="137">
        <f t="shared" si="525"/>
        <v>6000</v>
      </c>
      <c r="L770" s="137">
        <f t="shared" si="526"/>
        <v>3000</v>
      </c>
      <c r="M770" s="132">
        <v>1.1000000000000001</v>
      </c>
      <c r="N770" s="132"/>
      <c r="O770" s="132"/>
      <c r="P770" s="132"/>
      <c r="Q770" s="139">
        <f t="shared" si="596"/>
        <v>0</v>
      </c>
    </row>
    <row r="771" spans="1:17" ht="12.75" customHeight="1">
      <c r="A771" s="392"/>
      <c r="B771" s="393"/>
      <c r="C771" s="394" t="s">
        <v>733</v>
      </c>
      <c r="D771" s="395"/>
      <c r="E771" s="396">
        <v>3000</v>
      </c>
      <c r="F771" s="396"/>
      <c r="G771" s="397">
        <f>SUM(F771,E771)</f>
        <v>3000</v>
      </c>
      <c r="H771" s="399">
        <f>ROUND(F771*H$7,)</f>
        <v>0</v>
      </c>
      <c r="I771" s="449">
        <f>ROUND(F771*I$7,)</f>
        <v>0</v>
      </c>
      <c r="J771" s="449">
        <f>ROUND(F771*J$7,)</f>
        <v>0</v>
      </c>
      <c r="K771" s="137">
        <f t="shared" si="525"/>
        <v>6000</v>
      </c>
      <c r="L771" s="137">
        <f t="shared" si="526"/>
        <v>3000</v>
      </c>
      <c r="M771" s="132"/>
      <c r="N771" s="134" t="s">
        <v>814</v>
      </c>
      <c r="O771" s="132"/>
      <c r="P771" s="132"/>
      <c r="Q771" s="139">
        <f t="shared" si="596"/>
        <v>0</v>
      </c>
    </row>
    <row r="772" spans="1:17" ht="12.75" hidden="1" customHeight="1">
      <c r="A772" s="561" t="s">
        <v>815</v>
      </c>
      <c r="B772" s="562"/>
      <c r="C772" s="563"/>
      <c r="D772" s="564"/>
      <c r="E772" s="565">
        <f>SUM(E774,E773)</f>
        <v>0</v>
      </c>
      <c r="F772" s="565">
        <f>SUM(F774,F773)</f>
        <v>0</v>
      </c>
      <c r="G772" s="566">
        <f>SUM(G774,G773)</f>
        <v>0</v>
      </c>
      <c r="H772" s="567">
        <f>ROUND(F772*H$7,)</f>
        <v>0</v>
      </c>
      <c r="I772" s="575">
        <f t="shared" ref="I772:J774" si="625">ROUND(H772*I$7,)</f>
        <v>0</v>
      </c>
      <c r="J772" s="575">
        <f t="shared" si="625"/>
        <v>0</v>
      </c>
      <c r="K772" s="145">
        <f t="shared" si="525"/>
        <v>0</v>
      </c>
      <c r="L772" s="145">
        <f t="shared" si="526"/>
        <v>0</v>
      </c>
      <c r="M772" s="5"/>
      <c r="N772" s="5"/>
      <c r="O772" s="5"/>
      <c r="P772" s="5"/>
      <c r="Q772" s="139">
        <f t="shared" si="596"/>
        <v>0</v>
      </c>
    </row>
    <row r="773" spans="1:17" ht="12.75" hidden="1" customHeight="1">
      <c r="A773" s="385"/>
      <c r="B773" s="386"/>
      <c r="C773" s="387" t="s">
        <v>732</v>
      </c>
      <c r="D773" s="388"/>
      <c r="E773" s="389"/>
      <c r="F773" s="389"/>
      <c r="G773" s="390">
        <f>SUM(F773,E773)</f>
        <v>0</v>
      </c>
      <c r="H773" s="391">
        <f>ROUND(F773*H$7,)</f>
        <v>0</v>
      </c>
      <c r="I773" s="447">
        <f t="shared" si="625"/>
        <v>0</v>
      </c>
      <c r="J773" s="447">
        <f t="shared" si="625"/>
        <v>0</v>
      </c>
      <c r="K773" s="145">
        <f t="shared" si="525"/>
        <v>0</v>
      </c>
      <c r="L773" s="145">
        <f t="shared" si="526"/>
        <v>0</v>
      </c>
      <c r="M773" s="5"/>
      <c r="N773" s="5"/>
      <c r="O773" s="5"/>
      <c r="P773" s="5"/>
      <c r="Q773" s="139">
        <f t="shared" si="596"/>
        <v>0</v>
      </c>
    </row>
    <row r="774" spans="1:17" ht="12.75" hidden="1" customHeight="1">
      <c r="A774" s="385"/>
      <c r="B774" s="386"/>
      <c r="C774" s="387" t="s">
        <v>733</v>
      </c>
      <c r="D774" s="388"/>
      <c r="E774" s="389"/>
      <c r="F774" s="389"/>
      <c r="G774" s="390">
        <f>SUM(F774,E774)</f>
        <v>0</v>
      </c>
      <c r="H774" s="391">
        <f>ROUND(F774*H$7,)</f>
        <v>0</v>
      </c>
      <c r="I774" s="447">
        <f t="shared" si="625"/>
        <v>0</v>
      </c>
      <c r="J774" s="447">
        <f t="shared" si="625"/>
        <v>0</v>
      </c>
      <c r="K774" s="145">
        <f t="shared" si="525"/>
        <v>0</v>
      </c>
      <c r="L774" s="145">
        <f t="shared" si="526"/>
        <v>0</v>
      </c>
      <c r="M774" s="5"/>
      <c r="N774" s="5"/>
      <c r="O774" s="5"/>
      <c r="P774" s="5"/>
      <c r="Q774" s="139">
        <f t="shared" si="596"/>
        <v>0</v>
      </c>
    </row>
    <row r="775" spans="1:17" ht="24" customHeight="1">
      <c r="A775" s="378" t="s">
        <v>816</v>
      </c>
      <c r="B775" s="379"/>
      <c r="C775" s="380"/>
      <c r="D775" s="381" t="s">
        <v>817</v>
      </c>
      <c r="E775" s="382">
        <f t="shared" ref="E775:F775" si="626">SUM(E777,E776)</f>
        <v>2500</v>
      </c>
      <c r="F775" s="382">
        <f t="shared" si="626"/>
        <v>0</v>
      </c>
      <c r="G775" s="383">
        <f t="shared" ref="G775:J775" si="627">SUM(G777,G776)</f>
        <v>2500</v>
      </c>
      <c r="H775" s="540">
        <f t="shared" si="627"/>
        <v>0</v>
      </c>
      <c r="I775" s="568">
        <f t="shared" si="627"/>
        <v>0</v>
      </c>
      <c r="J775" s="568">
        <f t="shared" si="627"/>
        <v>0</v>
      </c>
      <c r="K775" s="137">
        <f t="shared" si="525"/>
        <v>5000</v>
      </c>
      <c r="L775" s="137">
        <f t="shared" si="526"/>
        <v>2500</v>
      </c>
      <c r="M775" s="132"/>
      <c r="N775" s="132"/>
      <c r="O775" s="132"/>
      <c r="P775" s="132"/>
      <c r="Q775" s="139">
        <f t="shared" si="596"/>
        <v>0</v>
      </c>
    </row>
    <row r="776" spans="1:17" ht="12.75" customHeight="1">
      <c r="A776" s="392"/>
      <c r="B776" s="393"/>
      <c r="C776" s="394" t="s">
        <v>732</v>
      </c>
      <c r="D776" s="395"/>
      <c r="E776" s="396">
        <v>1500</v>
      </c>
      <c r="F776" s="396"/>
      <c r="G776" s="397">
        <f>SUM(F776,E776)</f>
        <v>1500</v>
      </c>
      <c r="H776" s="391">
        <f>ROUND(F776*H$7,)</f>
        <v>0</v>
      </c>
      <c r="I776" s="447">
        <f>ROUND(H776*I$7,)</f>
        <v>0</v>
      </c>
      <c r="J776" s="447">
        <f>ROUND(I776*J$7,)</f>
        <v>0</v>
      </c>
      <c r="K776" s="137">
        <f t="shared" si="525"/>
        <v>3000</v>
      </c>
      <c r="L776" s="137">
        <f t="shared" si="526"/>
        <v>1500</v>
      </c>
      <c r="M776" s="132">
        <v>1.1000000000000001</v>
      </c>
      <c r="N776" s="132"/>
      <c r="O776" s="132"/>
      <c r="P776" s="132"/>
      <c r="Q776" s="139">
        <f t="shared" si="596"/>
        <v>0</v>
      </c>
    </row>
    <row r="777" spans="1:17" ht="12.75" customHeight="1">
      <c r="A777" s="392"/>
      <c r="B777" s="393"/>
      <c r="C777" s="394" t="s">
        <v>733</v>
      </c>
      <c r="D777" s="395"/>
      <c r="E777" s="396">
        <v>1000</v>
      </c>
      <c r="F777" s="396"/>
      <c r="G777" s="397">
        <f>SUM(F777,E777)</f>
        <v>1000</v>
      </c>
      <c r="H777" s="399">
        <f>ROUND(F777*H$7,)</f>
        <v>0</v>
      </c>
      <c r="I777" s="449">
        <f>ROUND(F777*I$7,)</f>
        <v>0</v>
      </c>
      <c r="J777" s="449">
        <f>ROUND(F777*J$7,)</f>
        <v>0</v>
      </c>
      <c r="K777" s="137">
        <f t="shared" si="525"/>
        <v>2000</v>
      </c>
      <c r="L777" s="137">
        <f t="shared" si="526"/>
        <v>1000</v>
      </c>
      <c r="M777" s="132">
        <v>1.1000000000000001</v>
      </c>
      <c r="N777" s="132"/>
      <c r="O777" s="132"/>
      <c r="P777" s="132"/>
      <c r="Q777" s="139">
        <f t="shared" si="596"/>
        <v>0</v>
      </c>
    </row>
    <row r="778" spans="1:17" ht="24" customHeight="1">
      <c r="A778" s="378" t="s">
        <v>818</v>
      </c>
      <c r="B778" s="379"/>
      <c r="C778" s="380"/>
      <c r="D778" s="381" t="s">
        <v>819</v>
      </c>
      <c r="E778" s="382">
        <f t="shared" ref="E778:F778" si="628">SUM(E780,E779)</f>
        <v>3000</v>
      </c>
      <c r="F778" s="382">
        <f t="shared" si="628"/>
        <v>0</v>
      </c>
      <c r="G778" s="383">
        <f t="shared" ref="G778:J778" si="629">SUM(G780,G779)</f>
        <v>3000</v>
      </c>
      <c r="H778" s="540">
        <f t="shared" si="629"/>
        <v>0</v>
      </c>
      <c r="I778" s="568">
        <f t="shared" si="629"/>
        <v>0</v>
      </c>
      <c r="J778" s="568">
        <f t="shared" si="629"/>
        <v>0</v>
      </c>
      <c r="K778" s="137">
        <f t="shared" si="525"/>
        <v>6000</v>
      </c>
      <c r="L778" s="137">
        <f t="shared" si="526"/>
        <v>3000</v>
      </c>
      <c r="M778" s="132"/>
      <c r="N778" s="132"/>
      <c r="O778" s="132"/>
      <c r="P778" s="132"/>
      <c r="Q778" s="139">
        <f t="shared" si="596"/>
        <v>0</v>
      </c>
    </row>
    <row r="779" spans="1:17" ht="12.75" customHeight="1">
      <c r="A779" s="392"/>
      <c r="B779" s="393"/>
      <c r="C779" s="394" t="s">
        <v>732</v>
      </c>
      <c r="D779" s="395"/>
      <c r="E779" s="396">
        <v>2000</v>
      </c>
      <c r="F779" s="396"/>
      <c r="G779" s="397">
        <f>SUM(F779,E779)</f>
        <v>2000</v>
      </c>
      <c r="H779" s="391">
        <f>ROUND(F779*H$7,)</f>
        <v>0</v>
      </c>
      <c r="I779" s="447">
        <f>ROUND(H779*I$7,)</f>
        <v>0</v>
      </c>
      <c r="J779" s="447">
        <f>ROUND(I779*J$7,)</f>
        <v>0</v>
      </c>
      <c r="K779" s="137">
        <f t="shared" si="525"/>
        <v>4000</v>
      </c>
      <c r="L779" s="137">
        <f t="shared" si="526"/>
        <v>2000</v>
      </c>
      <c r="M779" s="132">
        <v>1.1000000000000001</v>
      </c>
      <c r="N779" s="132"/>
      <c r="O779" s="132"/>
      <c r="P779" s="132"/>
      <c r="Q779" s="139">
        <f t="shared" si="596"/>
        <v>0</v>
      </c>
    </row>
    <row r="780" spans="1:17" ht="12.75" customHeight="1">
      <c r="A780" s="392"/>
      <c r="B780" s="393"/>
      <c r="C780" s="394" t="s">
        <v>733</v>
      </c>
      <c r="D780" s="395"/>
      <c r="E780" s="396">
        <v>1000</v>
      </c>
      <c r="F780" s="396"/>
      <c r="G780" s="397">
        <f>SUM(F780,E780)</f>
        <v>1000</v>
      </c>
      <c r="H780" s="399">
        <f>ROUND(F780*H$7,)</f>
        <v>0</v>
      </c>
      <c r="I780" s="449">
        <f>ROUND(H780*I$7,)</f>
        <v>0</v>
      </c>
      <c r="J780" s="449">
        <f>ROUND(I780*J$7,)</f>
        <v>0</v>
      </c>
      <c r="K780" s="137">
        <f t="shared" si="525"/>
        <v>2000</v>
      </c>
      <c r="L780" s="137">
        <f t="shared" si="526"/>
        <v>1000</v>
      </c>
      <c r="M780" s="132"/>
      <c r="N780" s="132" t="s">
        <v>820</v>
      </c>
      <c r="O780" s="132"/>
      <c r="P780" s="132"/>
      <c r="Q780" s="139">
        <f t="shared" si="596"/>
        <v>0</v>
      </c>
    </row>
    <row r="781" spans="1:17" ht="12.75" hidden="1" customHeight="1">
      <c r="A781" s="561" t="s">
        <v>821</v>
      </c>
      <c r="B781" s="562"/>
      <c r="C781" s="563"/>
      <c r="D781" s="564"/>
      <c r="E781" s="576">
        <f t="shared" ref="E781:F781" si="630">SUM(E783,E782)</f>
        <v>0</v>
      </c>
      <c r="F781" s="576">
        <f t="shared" si="630"/>
        <v>0</v>
      </c>
      <c r="G781" s="566">
        <f t="shared" ref="G781:J781" si="631">SUM(G783,G782)</f>
        <v>0</v>
      </c>
      <c r="H781" s="577">
        <f t="shared" si="631"/>
        <v>0</v>
      </c>
      <c r="I781" s="613">
        <f t="shared" si="631"/>
        <v>0</v>
      </c>
      <c r="J781" s="613">
        <f t="shared" si="631"/>
        <v>0</v>
      </c>
      <c r="K781" s="145">
        <f t="shared" si="525"/>
        <v>0</v>
      </c>
      <c r="L781" s="145">
        <f t="shared" si="526"/>
        <v>0</v>
      </c>
      <c r="M781" s="5"/>
      <c r="N781" s="5"/>
      <c r="O781" s="5"/>
      <c r="P781" s="5"/>
      <c r="Q781" s="139">
        <f t="shared" si="596"/>
        <v>0</v>
      </c>
    </row>
    <row r="782" spans="1:17" ht="12.75" hidden="1" customHeight="1">
      <c r="A782" s="385"/>
      <c r="B782" s="386"/>
      <c r="C782" s="387" t="s">
        <v>732</v>
      </c>
      <c r="D782" s="388"/>
      <c r="E782" s="406"/>
      <c r="F782" s="406"/>
      <c r="G782" s="390">
        <f>SUM(F782,E782)</f>
        <v>0</v>
      </c>
      <c r="H782" s="578">
        <f>ROUND(F782*H$7,)</f>
        <v>0</v>
      </c>
      <c r="I782" s="614">
        <f>ROUND(H782*I$7,)</f>
        <v>0</v>
      </c>
      <c r="J782" s="614">
        <f>ROUND(I782*J$7,)</f>
        <v>0</v>
      </c>
      <c r="K782" s="145">
        <f t="shared" si="525"/>
        <v>0</v>
      </c>
      <c r="L782" s="145">
        <f t="shared" si="526"/>
        <v>0</v>
      </c>
      <c r="M782" s="5"/>
      <c r="N782" s="5"/>
      <c r="O782" s="5"/>
      <c r="P782" s="5"/>
      <c r="Q782" s="139">
        <f t="shared" si="596"/>
        <v>0</v>
      </c>
    </row>
    <row r="783" spans="1:17" ht="12.75" hidden="1" customHeight="1">
      <c r="A783" s="385"/>
      <c r="B783" s="386"/>
      <c r="C783" s="387" t="s">
        <v>733</v>
      </c>
      <c r="D783" s="388"/>
      <c r="E783" s="406"/>
      <c r="F783" s="406"/>
      <c r="G783" s="390">
        <f>SUM(F783,E783)</f>
        <v>0</v>
      </c>
      <c r="H783" s="578">
        <f>ROUND(F783*H$7,)</f>
        <v>0</v>
      </c>
      <c r="I783" s="614">
        <f>ROUND(H783*I$7,)</f>
        <v>0</v>
      </c>
      <c r="J783" s="614">
        <f>ROUND(I783*J$7,)</f>
        <v>0</v>
      </c>
      <c r="K783" s="145">
        <f t="shared" si="525"/>
        <v>0</v>
      </c>
      <c r="L783" s="145">
        <f t="shared" si="526"/>
        <v>0</v>
      </c>
      <c r="M783" s="5"/>
      <c r="N783" s="5"/>
      <c r="O783" s="5"/>
      <c r="P783" s="5"/>
      <c r="Q783" s="139">
        <f t="shared" si="596"/>
        <v>0</v>
      </c>
    </row>
    <row r="784" spans="1:17" ht="12.75" hidden="1" customHeight="1">
      <c r="A784" s="561" t="s">
        <v>822</v>
      </c>
      <c r="B784" s="562"/>
      <c r="C784" s="563"/>
      <c r="D784" s="564"/>
      <c r="E784" s="576">
        <f t="shared" ref="E784:F784" si="632">SUBTOTAL(9,E785)</f>
        <v>0</v>
      </c>
      <c r="F784" s="576">
        <f t="shared" si="632"/>
        <v>0</v>
      </c>
      <c r="G784" s="566">
        <f t="shared" ref="G784:J784" si="633">SUBTOTAL(9,G785)</f>
        <v>0</v>
      </c>
      <c r="H784" s="577">
        <f t="shared" si="633"/>
        <v>0</v>
      </c>
      <c r="I784" s="613">
        <f t="shared" si="633"/>
        <v>0</v>
      </c>
      <c r="J784" s="613">
        <f t="shared" si="633"/>
        <v>0</v>
      </c>
      <c r="K784" s="145">
        <f t="shared" si="525"/>
        <v>0</v>
      </c>
      <c r="L784" s="145">
        <f t="shared" si="526"/>
        <v>0</v>
      </c>
      <c r="M784" s="5"/>
      <c r="N784" s="5"/>
      <c r="O784" s="5"/>
      <c r="P784" s="5"/>
      <c r="Q784" s="139">
        <f t="shared" si="596"/>
        <v>0</v>
      </c>
    </row>
    <row r="785" spans="1:17" ht="12.75" hidden="1" customHeight="1">
      <c r="A785" s="385"/>
      <c r="B785" s="386"/>
      <c r="C785" s="387" t="s">
        <v>733</v>
      </c>
      <c r="D785" s="388"/>
      <c r="E785" s="406"/>
      <c r="F785" s="406"/>
      <c r="G785" s="390">
        <f>SUM(F785,E785)</f>
        <v>0</v>
      </c>
      <c r="H785" s="578">
        <f>ROUND(F785*H$7,)</f>
        <v>0</v>
      </c>
      <c r="I785" s="614">
        <f>ROUND(H785*I$7,)</f>
        <v>0</v>
      </c>
      <c r="J785" s="614">
        <f>ROUND(I785*J$7,)</f>
        <v>0</v>
      </c>
      <c r="K785" s="145">
        <f t="shared" si="525"/>
        <v>0</v>
      </c>
      <c r="L785" s="145">
        <f t="shared" si="526"/>
        <v>0</v>
      </c>
      <c r="M785" s="5"/>
      <c r="N785" s="5"/>
      <c r="O785" s="5"/>
      <c r="P785" s="5"/>
      <c r="Q785" s="139">
        <f t="shared" si="596"/>
        <v>0</v>
      </c>
    </row>
    <row r="786" spans="1:17" ht="12.75" hidden="1" customHeight="1">
      <c r="A786" s="561" t="s">
        <v>823</v>
      </c>
      <c r="B786" s="562"/>
      <c r="C786" s="563"/>
      <c r="D786" s="564"/>
      <c r="E786" s="576">
        <f t="shared" ref="E786:F786" si="634">SUM(E788,E787)</f>
        <v>0</v>
      </c>
      <c r="F786" s="576">
        <f t="shared" si="634"/>
        <v>0</v>
      </c>
      <c r="G786" s="566">
        <f t="shared" ref="G786:J786" si="635">SUM(G788,G787)</f>
        <v>0</v>
      </c>
      <c r="H786" s="577">
        <f t="shared" si="635"/>
        <v>0</v>
      </c>
      <c r="I786" s="613">
        <f t="shared" si="635"/>
        <v>0</v>
      </c>
      <c r="J786" s="613">
        <f t="shared" si="635"/>
        <v>0</v>
      </c>
      <c r="K786" s="145">
        <f t="shared" si="525"/>
        <v>0</v>
      </c>
      <c r="L786" s="145">
        <f t="shared" si="526"/>
        <v>0</v>
      </c>
      <c r="M786" s="5"/>
      <c r="N786" s="5"/>
      <c r="O786" s="5"/>
      <c r="P786" s="5"/>
      <c r="Q786" s="139">
        <f t="shared" si="596"/>
        <v>0</v>
      </c>
    </row>
    <row r="787" spans="1:17" ht="12.75" hidden="1" customHeight="1">
      <c r="A787" s="385"/>
      <c r="B787" s="386"/>
      <c r="C787" s="387" t="s">
        <v>732</v>
      </c>
      <c r="D787" s="388"/>
      <c r="E787" s="555"/>
      <c r="F787" s="555"/>
      <c r="G787" s="390">
        <f>SUM(F787,E787)</f>
        <v>0</v>
      </c>
      <c r="H787" s="579">
        <f>ROUND(F787*H$7,)</f>
        <v>0</v>
      </c>
      <c r="I787" s="615">
        <f>ROUND(H787*I$7,)</f>
        <v>0</v>
      </c>
      <c r="J787" s="615">
        <f>ROUND(I787*J$7,)</f>
        <v>0</v>
      </c>
      <c r="K787" s="145">
        <f t="shared" si="525"/>
        <v>0</v>
      </c>
      <c r="L787" s="145">
        <f t="shared" si="526"/>
        <v>0</v>
      </c>
      <c r="M787" s="5"/>
      <c r="N787" s="5"/>
      <c r="O787" s="5"/>
      <c r="P787" s="5"/>
      <c r="Q787" s="139">
        <f t="shared" si="596"/>
        <v>0</v>
      </c>
    </row>
    <row r="788" spans="1:17" ht="12.75" hidden="1" customHeight="1">
      <c r="A788" s="385"/>
      <c r="B788" s="386"/>
      <c r="C788" s="387" t="s">
        <v>733</v>
      </c>
      <c r="D788" s="388"/>
      <c r="E788" s="389"/>
      <c r="F788" s="389"/>
      <c r="G788" s="390">
        <f>SUM(F788,E788)</f>
        <v>0</v>
      </c>
      <c r="H788" s="580">
        <f>ROUND(F788*H$7,)</f>
        <v>0</v>
      </c>
      <c r="I788" s="616">
        <f>ROUND(H788*I$7,)</f>
        <v>0</v>
      </c>
      <c r="J788" s="616">
        <f>ROUND(I788*J$7,)</f>
        <v>0</v>
      </c>
      <c r="K788" s="145">
        <f t="shared" si="525"/>
        <v>0</v>
      </c>
      <c r="L788" s="145">
        <f t="shared" si="526"/>
        <v>0</v>
      </c>
      <c r="M788" s="5"/>
      <c r="N788" s="5"/>
      <c r="O788" s="5"/>
      <c r="P788" s="5"/>
      <c r="Q788" s="139">
        <f t="shared" si="596"/>
        <v>0</v>
      </c>
    </row>
    <row r="789" spans="1:17" ht="38.25" hidden="1" customHeight="1">
      <c r="A789" s="967" t="s">
        <v>824</v>
      </c>
      <c r="B789" s="948"/>
      <c r="C789" s="948"/>
      <c r="D789" s="564"/>
      <c r="E789" s="576">
        <f t="shared" ref="E789:F789" si="636">SUM(E791,E790)</f>
        <v>0</v>
      </c>
      <c r="F789" s="576">
        <f t="shared" si="636"/>
        <v>0</v>
      </c>
      <c r="G789" s="581">
        <f t="shared" ref="G789:J789" si="637">SUM(G791,G790)</f>
        <v>0</v>
      </c>
      <c r="H789" s="582">
        <f t="shared" si="637"/>
        <v>0</v>
      </c>
      <c r="I789" s="617">
        <f t="shared" si="637"/>
        <v>0</v>
      </c>
      <c r="J789" s="617">
        <f t="shared" si="637"/>
        <v>0</v>
      </c>
      <c r="K789" s="145">
        <f t="shared" si="525"/>
        <v>0</v>
      </c>
      <c r="L789" s="145">
        <f t="shared" si="526"/>
        <v>0</v>
      </c>
      <c r="M789" s="5"/>
      <c r="N789" s="5"/>
      <c r="O789" s="5"/>
      <c r="P789" s="5"/>
      <c r="Q789" s="139">
        <f t="shared" si="596"/>
        <v>0</v>
      </c>
    </row>
    <row r="790" spans="1:17" ht="12.75" hidden="1" customHeight="1">
      <c r="A790" s="385"/>
      <c r="B790" s="386"/>
      <c r="C790" s="387" t="s">
        <v>732</v>
      </c>
      <c r="D790" s="388"/>
      <c r="E790" s="389"/>
      <c r="F790" s="389"/>
      <c r="G790" s="390">
        <f>SUM(F790,E790)</f>
        <v>0</v>
      </c>
      <c r="H790" s="391">
        <f>ROUND(F790*H$7,)</f>
        <v>0</v>
      </c>
      <c r="I790" s="447">
        <f>ROUND(H790*I$7,)</f>
        <v>0</v>
      </c>
      <c r="J790" s="447">
        <f>ROUND(I790*J$7,)</f>
        <v>0</v>
      </c>
      <c r="K790" s="145">
        <f t="shared" si="525"/>
        <v>0</v>
      </c>
      <c r="L790" s="145">
        <f t="shared" si="526"/>
        <v>0</v>
      </c>
      <c r="M790" s="5"/>
      <c r="N790" s="5"/>
      <c r="O790" s="5"/>
      <c r="P790" s="5"/>
      <c r="Q790" s="139">
        <f t="shared" si="596"/>
        <v>0</v>
      </c>
    </row>
    <row r="791" spans="1:17" ht="12.75" hidden="1" customHeight="1">
      <c r="A791" s="385"/>
      <c r="B791" s="386"/>
      <c r="C791" s="387" t="s">
        <v>733</v>
      </c>
      <c r="D791" s="388"/>
      <c r="E791" s="406"/>
      <c r="F791" s="406"/>
      <c r="G791" s="390">
        <f>SUM(F791,E791)</f>
        <v>0</v>
      </c>
      <c r="H791" s="399"/>
      <c r="I791" s="449"/>
      <c r="J791" s="449"/>
      <c r="K791" s="145">
        <f t="shared" si="525"/>
        <v>0</v>
      </c>
      <c r="L791" s="145">
        <f t="shared" si="526"/>
        <v>0</v>
      </c>
      <c r="M791" s="5"/>
      <c r="N791" s="5"/>
      <c r="O791" s="5"/>
      <c r="P791" s="5"/>
      <c r="Q791" s="139">
        <f t="shared" si="596"/>
        <v>0</v>
      </c>
    </row>
    <row r="792" spans="1:17" ht="50.25" customHeight="1">
      <c r="A792" s="968" t="s">
        <v>825</v>
      </c>
      <c r="B792" s="948"/>
      <c r="C792" s="948"/>
      <c r="D792" s="541"/>
      <c r="E792" s="382">
        <f>SUM(E821,E820)</f>
        <v>44627.5</v>
      </c>
      <c r="F792" s="382">
        <f>SUM(F821,F820)</f>
        <v>0</v>
      </c>
      <c r="G792" s="383">
        <f>SUM(G821,G820)</f>
        <v>44627.5</v>
      </c>
      <c r="H792" s="540">
        <f t="shared" ref="H792:J792" si="638">SUM(H821,H820)</f>
        <v>0</v>
      </c>
      <c r="I792" s="568">
        <f t="shared" si="638"/>
        <v>0</v>
      </c>
      <c r="J792" s="568">
        <f t="shared" si="638"/>
        <v>0</v>
      </c>
      <c r="K792" s="137">
        <f t="shared" si="525"/>
        <v>89255</v>
      </c>
      <c r="L792" s="137">
        <f t="shared" si="526"/>
        <v>44627.5</v>
      </c>
      <c r="M792" s="132"/>
      <c r="N792" s="132"/>
      <c r="O792" s="132"/>
      <c r="P792" s="132"/>
      <c r="Q792" s="139">
        <f t="shared" si="596"/>
        <v>0</v>
      </c>
    </row>
    <row r="793" spans="1:17" ht="25.5">
      <c r="A793" s="385"/>
      <c r="B793" s="386"/>
      <c r="C793" s="583" t="s">
        <v>826</v>
      </c>
      <c r="D793" s="547"/>
      <c r="E793" s="406">
        <v>250</v>
      </c>
      <c r="F793" s="406"/>
      <c r="G793" s="584">
        <f t="shared" ref="G793:G820" si="639">SUM(F793,E793)</f>
        <v>250</v>
      </c>
      <c r="H793" s="585"/>
      <c r="I793" s="618"/>
      <c r="J793" s="618"/>
      <c r="K793" s="145">
        <f t="shared" si="525"/>
        <v>500</v>
      </c>
      <c r="L793" s="145">
        <f t="shared" si="526"/>
        <v>250</v>
      </c>
      <c r="M793" s="5"/>
      <c r="N793" s="5"/>
      <c r="O793" s="5"/>
      <c r="P793" s="5"/>
      <c r="Q793" s="139">
        <f t="shared" si="596"/>
        <v>0</v>
      </c>
    </row>
    <row r="794" spans="1:17" s="1" customFormat="1" ht="25.5" hidden="1" customHeight="1">
      <c r="A794" s="586"/>
      <c r="B794" s="587"/>
      <c r="C794" s="588" t="s">
        <v>827</v>
      </c>
      <c r="D794" s="589"/>
      <c r="E794" s="590">
        <f>SUM(E795:E797)</f>
        <v>0</v>
      </c>
      <c r="F794" s="590">
        <f>SUM(F795:F797)</f>
        <v>0</v>
      </c>
      <c r="G794" s="591">
        <f t="shared" si="639"/>
        <v>0</v>
      </c>
      <c r="H794" s="585"/>
      <c r="I794" s="618"/>
      <c r="J794" s="618"/>
      <c r="K794" s="137">
        <f t="shared" si="525"/>
        <v>0</v>
      </c>
      <c r="L794" s="137">
        <f t="shared" si="526"/>
        <v>0</v>
      </c>
      <c r="M794" s="144"/>
      <c r="N794" s="144"/>
      <c r="O794" s="144"/>
      <c r="P794" s="144"/>
      <c r="Q794" s="139">
        <f t="shared" ref="Q794:Q857" si="640">E794-G794</f>
        <v>0</v>
      </c>
    </row>
    <row r="795" spans="1:17" ht="12.75" hidden="1" customHeight="1">
      <c r="A795" s="592"/>
      <c r="B795" s="414"/>
      <c r="C795" s="593" t="s">
        <v>828</v>
      </c>
      <c r="D795" s="418"/>
      <c r="E795" s="594"/>
      <c r="F795" s="594"/>
      <c r="G795" s="595">
        <f t="shared" si="639"/>
        <v>0</v>
      </c>
      <c r="H795" s="585"/>
      <c r="I795" s="618"/>
      <c r="J795" s="618"/>
      <c r="K795" s="137">
        <f t="shared" si="525"/>
        <v>0</v>
      </c>
      <c r="L795" s="137">
        <f t="shared" si="526"/>
        <v>0</v>
      </c>
      <c r="M795" s="619"/>
      <c r="N795" s="619"/>
      <c r="O795" s="619"/>
      <c r="P795" s="619"/>
      <c r="Q795" s="139">
        <f t="shared" si="640"/>
        <v>0</v>
      </c>
    </row>
    <row r="796" spans="1:17" ht="12.75" hidden="1" customHeight="1">
      <c r="A796" s="592"/>
      <c r="B796" s="414"/>
      <c r="C796" s="593" t="s">
        <v>829</v>
      </c>
      <c r="D796" s="418"/>
      <c r="E796" s="594"/>
      <c r="F796" s="594"/>
      <c r="G796" s="595">
        <f t="shared" si="639"/>
        <v>0</v>
      </c>
      <c r="H796" s="585"/>
      <c r="I796" s="618"/>
      <c r="J796" s="618"/>
      <c r="K796" s="137">
        <f t="shared" ref="K796" si="641">SUM(E796:G796)</f>
        <v>0</v>
      </c>
      <c r="L796" s="137">
        <f t="shared" ref="L796:L848" si="642">IF(G796&lt;&gt;0,G796,0)</f>
        <v>0</v>
      </c>
      <c r="M796" s="619"/>
      <c r="N796" s="619"/>
      <c r="O796" s="619"/>
      <c r="P796" s="619"/>
      <c r="Q796" s="139">
        <f t="shared" si="640"/>
        <v>0</v>
      </c>
    </row>
    <row r="797" spans="1:17" ht="12.75" hidden="1" customHeight="1">
      <c r="A797" s="592"/>
      <c r="B797" s="414"/>
      <c r="C797" s="593" t="s">
        <v>830</v>
      </c>
      <c r="D797" s="418"/>
      <c r="E797" s="594"/>
      <c r="F797" s="594"/>
      <c r="G797" s="595">
        <f t="shared" si="639"/>
        <v>0</v>
      </c>
      <c r="H797" s="585"/>
      <c r="I797" s="618"/>
      <c r="J797" s="618"/>
      <c r="K797" s="137">
        <f t="shared" si="525"/>
        <v>0</v>
      </c>
      <c r="L797" s="137">
        <f t="shared" si="642"/>
        <v>0</v>
      </c>
      <c r="M797" s="619"/>
      <c r="N797" s="619"/>
      <c r="O797" s="619"/>
      <c r="P797" s="619"/>
      <c r="Q797" s="139">
        <f t="shared" si="640"/>
        <v>0</v>
      </c>
    </row>
    <row r="798" spans="1:17" s="1" customFormat="1" ht="38.25" customHeight="1">
      <c r="A798" s="586"/>
      <c r="B798" s="587"/>
      <c r="C798" s="588" t="s">
        <v>831</v>
      </c>
      <c r="D798" s="589"/>
      <c r="E798" s="590">
        <f>SUBTOTAL(9,E799:E801)</f>
        <v>2168.3000000000002</v>
      </c>
      <c r="F798" s="590">
        <f>SUBTOTAL(9,F799:F801)</f>
        <v>0</v>
      </c>
      <c r="G798" s="591">
        <f t="shared" si="639"/>
        <v>2168.3000000000002</v>
      </c>
      <c r="H798" s="585"/>
      <c r="I798" s="618"/>
      <c r="J798" s="618"/>
      <c r="K798" s="137">
        <f t="shared" si="525"/>
        <v>4336.6000000000004</v>
      </c>
      <c r="L798" s="137">
        <f t="shared" si="642"/>
        <v>2168.3000000000002</v>
      </c>
      <c r="M798" s="144"/>
      <c r="N798" s="144"/>
      <c r="O798" s="144"/>
      <c r="P798" s="144"/>
      <c r="Q798" s="139">
        <f t="shared" si="640"/>
        <v>0</v>
      </c>
    </row>
    <row r="799" spans="1:17" ht="12.75" customHeight="1">
      <c r="A799" s="592"/>
      <c r="B799" s="414"/>
      <c r="C799" s="799" t="s">
        <v>832</v>
      </c>
      <c r="D799" s="418"/>
      <c r="E799" s="798">
        <v>683.2</v>
      </c>
      <c r="F799" s="594"/>
      <c r="G799" s="800">
        <f t="shared" ref="G799:G800" si="643">SUM(F799,E799)</f>
        <v>683.2</v>
      </c>
      <c r="H799" s="585"/>
      <c r="I799" s="618"/>
      <c r="J799" s="618"/>
      <c r="K799" s="137">
        <f t="shared" ref="K799:K800" si="644">SUM(E799:G799)</f>
        <v>1366.4</v>
      </c>
      <c r="L799" s="137" t="str">
        <f>C799</f>
        <v>titl. 58 - cheltuieli neeligibile</v>
      </c>
      <c r="M799" s="619"/>
      <c r="N799" s="619"/>
      <c r="O799" s="619"/>
      <c r="P799" s="619"/>
      <c r="Q799" s="139">
        <f t="shared" si="640"/>
        <v>0</v>
      </c>
    </row>
    <row r="800" spans="1:17" ht="24.75" customHeight="1">
      <c r="A800" s="592"/>
      <c r="B800" s="414"/>
      <c r="C800" s="593" t="s">
        <v>833</v>
      </c>
      <c r="D800" s="418"/>
      <c r="E800" s="594">
        <v>0</v>
      </c>
      <c r="F800" s="594"/>
      <c r="G800" s="595">
        <f t="shared" si="643"/>
        <v>0</v>
      </c>
      <c r="H800" s="585"/>
      <c r="I800" s="618"/>
      <c r="J800" s="618"/>
      <c r="K800" s="137">
        <f t="shared" si="644"/>
        <v>0</v>
      </c>
      <c r="L800" s="137" t="str">
        <f>C800</f>
        <v>Rambursare imprumut Trezoreria Statului cf. OUG nr.24/2023 
(alin. 8104)</v>
      </c>
      <c r="M800" s="619"/>
      <c r="N800" s="619"/>
      <c r="O800" s="619"/>
      <c r="P800" s="619"/>
      <c r="Q800" s="139">
        <f t="shared" si="640"/>
        <v>0</v>
      </c>
    </row>
    <row r="801" spans="1:17" ht="26.25" customHeight="1">
      <c r="A801" s="592"/>
      <c r="B801" s="414"/>
      <c r="C801" s="593" t="s">
        <v>834</v>
      </c>
      <c r="D801" s="418"/>
      <c r="E801" s="594">
        <v>1485.1</v>
      </c>
      <c r="F801" s="594"/>
      <c r="G801" s="595">
        <f t="shared" ref="G801:G802" si="645">SUM(F801,E801)</f>
        <v>1485.1</v>
      </c>
      <c r="H801" s="585"/>
      <c r="I801" s="618"/>
      <c r="J801" s="618"/>
      <c r="K801" s="137">
        <f t="shared" ref="K801" si="646">SUM(E801:G801)</f>
        <v>2970.2</v>
      </c>
      <c r="L801" s="137" t="str">
        <f>C801</f>
        <v>Rambursare imprumut Trezoreria Statului cf. OUG nr.92/2023 
(alin. 8104)</v>
      </c>
      <c r="M801" s="619"/>
      <c r="N801" s="619"/>
      <c r="O801" s="619"/>
      <c r="P801" s="619"/>
      <c r="Q801" s="139">
        <f t="shared" si="640"/>
        <v>0</v>
      </c>
    </row>
    <row r="802" spans="1:17" s="1" customFormat="1" ht="25.5" customHeight="1">
      <c r="A802" s="586"/>
      <c r="B802" s="587"/>
      <c r="C802" s="588" t="s">
        <v>835</v>
      </c>
      <c r="D802" s="589"/>
      <c r="E802" s="590">
        <f>SUM(E804,E808)</f>
        <v>25826.799999999999</v>
      </c>
      <c r="F802" s="590">
        <f>SUM(F804,F808)</f>
        <v>0</v>
      </c>
      <c r="G802" s="591">
        <f t="shared" si="645"/>
        <v>25826.799999999999</v>
      </c>
      <c r="H802" s="585"/>
      <c r="I802" s="618"/>
      <c r="J802" s="618"/>
      <c r="K802" s="137">
        <f t="shared" si="525"/>
        <v>51653.599999999999</v>
      </c>
      <c r="L802" s="137">
        <f t="shared" si="642"/>
        <v>25826.799999999999</v>
      </c>
      <c r="M802" s="144"/>
      <c r="N802" s="144"/>
      <c r="O802" s="144"/>
      <c r="P802" s="144"/>
      <c r="Q802" s="139">
        <f t="shared" si="640"/>
        <v>0</v>
      </c>
    </row>
    <row r="803" spans="1:17" ht="12.75" hidden="1">
      <c r="A803" s="385"/>
      <c r="B803" s="386"/>
      <c r="C803" s="412" t="s">
        <v>731</v>
      </c>
      <c r="D803" s="547"/>
      <c r="E803" s="406"/>
      <c r="F803" s="406"/>
      <c r="G803" s="584"/>
      <c r="H803" s="585"/>
      <c r="I803" s="618"/>
      <c r="J803" s="618"/>
      <c r="K803" s="145">
        <f t="shared" ref="K803:K809" si="647">SUM(E803:G803)</f>
        <v>0</v>
      </c>
      <c r="L803" s="145">
        <f t="shared" si="642"/>
        <v>0</v>
      </c>
      <c r="M803" s="5"/>
      <c r="N803" s="5"/>
      <c r="O803" s="5"/>
      <c r="P803" s="5"/>
      <c r="Q803" s="139">
        <f t="shared" si="640"/>
        <v>0</v>
      </c>
    </row>
    <row r="804" spans="1:17" s="2" customFormat="1" ht="12.75" hidden="1">
      <c r="A804" s="416"/>
      <c r="B804" s="596"/>
      <c r="C804" s="597" t="s">
        <v>836</v>
      </c>
      <c r="D804" s="418"/>
      <c r="E804" s="419">
        <f>SUM(E806:E807)</f>
        <v>0</v>
      </c>
      <c r="F804" s="419">
        <f>SUM(F806:F807)</f>
        <v>0</v>
      </c>
      <c r="G804" s="598">
        <f>SUM(F804,E804)</f>
        <v>0</v>
      </c>
      <c r="H804" s="585"/>
      <c r="I804" s="618"/>
      <c r="J804" s="618"/>
      <c r="K804" s="137">
        <f t="shared" si="647"/>
        <v>0</v>
      </c>
      <c r="L804" s="137">
        <f t="shared" si="642"/>
        <v>0</v>
      </c>
      <c r="M804" s="169"/>
      <c r="N804" s="169"/>
      <c r="O804" s="169"/>
      <c r="P804" s="169"/>
      <c r="Q804" s="139">
        <f t="shared" si="640"/>
        <v>0</v>
      </c>
    </row>
    <row r="805" spans="1:17" ht="12.75" hidden="1">
      <c r="A805" s="385"/>
      <c r="B805" s="386"/>
      <c r="C805" s="599" t="s">
        <v>731</v>
      </c>
      <c r="D805" s="547"/>
      <c r="E805" s="406"/>
      <c r="F805" s="406"/>
      <c r="G805" s="584"/>
      <c r="H805" s="585"/>
      <c r="I805" s="618"/>
      <c r="J805" s="618"/>
      <c r="K805" s="145">
        <f t="shared" si="647"/>
        <v>0</v>
      </c>
      <c r="L805" s="145">
        <f t="shared" si="642"/>
        <v>0</v>
      </c>
      <c r="M805" s="5"/>
      <c r="N805" s="5"/>
      <c r="O805" s="5"/>
      <c r="P805" s="5"/>
      <c r="Q805" s="139">
        <f t="shared" si="640"/>
        <v>0</v>
      </c>
    </row>
    <row r="806" spans="1:17" ht="12.75" hidden="1">
      <c r="A806" s="392"/>
      <c r="B806" s="393"/>
      <c r="C806" s="600" t="s">
        <v>837</v>
      </c>
      <c r="D806" s="418"/>
      <c r="E806" s="396"/>
      <c r="F806" s="396"/>
      <c r="G806" s="598">
        <f t="shared" ref="G806:G809" si="648">SUM(F806,E806)</f>
        <v>0</v>
      </c>
      <c r="H806" s="585"/>
      <c r="I806" s="618"/>
      <c r="J806" s="618"/>
      <c r="K806" s="137">
        <f t="shared" si="647"/>
        <v>0</v>
      </c>
      <c r="L806" s="137">
        <f t="shared" si="642"/>
        <v>0</v>
      </c>
      <c r="M806" s="132"/>
      <c r="N806" s="132"/>
      <c r="O806" s="132"/>
      <c r="P806" s="132"/>
      <c r="Q806" s="139">
        <f t="shared" si="640"/>
        <v>0</v>
      </c>
    </row>
    <row r="807" spans="1:17" ht="12.75" hidden="1">
      <c r="A807" s="392"/>
      <c r="B807" s="393"/>
      <c r="C807" s="600" t="s">
        <v>838</v>
      </c>
      <c r="D807" s="418"/>
      <c r="E807" s="396"/>
      <c r="F807" s="396"/>
      <c r="G807" s="598">
        <f t="shared" si="648"/>
        <v>0</v>
      </c>
      <c r="H807" s="585"/>
      <c r="I807" s="618"/>
      <c r="J807" s="618"/>
      <c r="K807" s="137">
        <f t="shared" si="647"/>
        <v>0</v>
      </c>
      <c r="L807" s="137">
        <f t="shared" si="642"/>
        <v>0</v>
      </c>
      <c r="M807" s="132"/>
      <c r="N807" s="132"/>
      <c r="O807" s="132"/>
      <c r="P807" s="132"/>
      <c r="Q807" s="139">
        <f t="shared" si="640"/>
        <v>0</v>
      </c>
    </row>
    <row r="808" spans="1:17" s="2" customFormat="1" ht="12.75">
      <c r="A808" s="416"/>
      <c r="B808" s="596"/>
      <c r="C808" s="597" t="s">
        <v>753</v>
      </c>
      <c r="D808" s="418"/>
      <c r="E808" s="419">
        <v>25826.799999999999</v>
      </c>
      <c r="F808" s="419"/>
      <c r="G808" s="598">
        <f t="shared" si="648"/>
        <v>25826.799999999999</v>
      </c>
      <c r="H808" s="585"/>
      <c r="I808" s="618"/>
      <c r="J808" s="618"/>
      <c r="K808" s="137">
        <f t="shared" si="647"/>
        <v>51653.599999999999</v>
      </c>
      <c r="L808" s="137">
        <f t="shared" si="642"/>
        <v>25826.799999999999</v>
      </c>
      <c r="M808" s="169"/>
      <c r="N808" s="169"/>
      <c r="O808" s="169"/>
      <c r="P808" s="169"/>
      <c r="Q808" s="139">
        <f t="shared" si="640"/>
        <v>0</v>
      </c>
    </row>
    <row r="809" spans="1:17" s="1" customFormat="1" ht="25.5" customHeight="1">
      <c r="A809" s="586"/>
      <c r="B809" s="587"/>
      <c r="C809" s="588" t="s">
        <v>839</v>
      </c>
      <c r="D809" s="589"/>
      <c r="E809" s="590">
        <f>SUM(E811,E815)</f>
        <v>16382.4</v>
      </c>
      <c r="F809" s="590">
        <f>SUM(F811,F815)</f>
        <v>0</v>
      </c>
      <c r="G809" s="591">
        <f t="shared" si="648"/>
        <v>16382.4</v>
      </c>
      <c r="H809" s="585"/>
      <c r="I809" s="618"/>
      <c r="J809" s="618"/>
      <c r="K809" s="137">
        <f t="shared" si="647"/>
        <v>32764.799999999999</v>
      </c>
      <c r="L809" s="137">
        <f t="shared" si="642"/>
        <v>16382.4</v>
      </c>
      <c r="M809" s="144"/>
      <c r="N809" s="144"/>
      <c r="O809" s="144"/>
      <c r="P809" s="144"/>
      <c r="Q809" s="139">
        <f t="shared" si="640"/>
        <v>0</v>
      </c>
    </row>
    <row r="810" spans="1:17" ht="12.75" hidden="1">
      <c r="A810" s="385"/>
      <c r="B810" s="386"/>
      <c r="C810" s="412" t="s">
        <v>731</v>
      </c>
      <c r="D810" s="547"/>
      <c r="E810" s="406"/>
      <c r="F810" s="406"/>
      <c r="G810" s="584"/>
      <c r="H810" s="585"/>
      <c r="I810" s="618"/>
      <c r="J810" s="618"/>
      <c r="K810" s="145">
        <f t="shared" ref="K810" si="649">SUM(E810:G810)</f>
        <v>0</v>
      </c>
      <c r="L810" s="145">
        <f t="shared" ref="L810" si="650">IF(G810&lt;&gt;0,G810,0)</f>
        <v>0</v>
      </c>
      <c r="M810" s="5"/>
      <c r="N810" s="5"/>
      <c r="O810" s="5"/>
      <c r="P810" s="5"/>
      <c r="Q810" s="139">
        <f t="shared" si="640"/>
        <v>0</v>
      </c>
    </row>
    <row r="811" spans="1:17" s="2" customFormat="1" ht="12.75" hidden="1">
      <c r="A811" s="416"/>
      <c r="B811" s="596"/>
      <c r="C811" s="597" t="s">
        <v>836</v>
      </c>
      <c r="D811" s="418"/>
      <c r="E811" s="419">
        <f>SUM(E813:E814)</f>
        <v>0</v>
      </c>
      <c r="F811" s="419">
        <f>SUM(F813:F814)</f>
        <v>0</v>
      </c>
      <c r="G811" s="598">
        <f>SUM(F811,E811)</f>
        <v>0</v>
      </c>
      <c r="H811" s="585"/>
      <c r="I811" s="618"/>
      <c r="J811" s="618"/>
      <c r="K811" s="137">
        <f t="shared" ref="K811:K815" si="651">SUM(E811:G811)</f>
        <v>0</v>
      </c>
      <c r="L811" s="137">
        <f t="shared" ref="L811:L813" si="652">IF(G811&lt;&gt;0,G811,0)</f>
        <v>0</v>
      </c>
      <c r="M811" s="169"/>
      <c r="N811" s="169"/>
      <c r="O811" s="169"/>
      <c r="P811" s="169"/>
      <c r="Q811" s="139">
        <f t="shared" si="640"/>
        <v>0</v>
      </c>
    </row>
    <row r="812" spans="1:17" ht="12.75" hidden="1">
      <c r="A812" s="385"/>
      <c r="B812" s="386"/>
      <c r="C812" s="599" t="s">
        <v>731</v>
      </c>
      <c r="D812" s="547"/>
      <c r="E812" s="406"/>
      <c r="F812" s="406"/>
      <c r="G812" s="584"/>
      <c r="H812" s="585"/>
      <c r="I812" s="618"/>
      <c r="J812" s="618"/>
      <c r="K812" s="145">
        <f t="shared" si="651"/>
        <v>0</v>
      </c>
      <c r="L812" s="145">
        <f t="shared" si="652"/>
        <v>0</v>
      </c>
      <c r="M812" s="5"/>
      <c r="N812" s="5"/>
      <c r="O812" s="5"/>
      <c r="P812" s="5"/>
      <c r="Q812" s="139">
        <f t="shared" si="640"/>
        <v>0</v>
      </c>
    </row>
    <row r="813" spans="1:17" ht="12.75" hidden="1">
      <c r="A813" s="392"/>
      <c r="B813" s="393"/>
      <c r="C813" s="600" t="s">
        <v>837</v>
      </c>
      <c r="D813" s="418"/>
      <c r="E813" s="396"/>
      <c r="F813" s="396"/>
      <c r="G813" s="598">
        <f t="shared" ref="G813:G815" si="653">SUM(F813,E813)</f>
        <v>0</v>
      </c>
      <c r="H813" s="585"/>
      <c r="I813" s="618"/>
      <c r="J813" s="618"/>
      <c r="K813" s="137">
        <f t="shared" si="651"/>
        <v>0</v>
      </c>
      <c r="L813" s="137">
        <f t="shared" si="652"/>
        <v>0</v>
      </c>
      <c r="M813" s="132"/>
      <c r="N813" s="132"/>
      <c r="O813" s="132"/>
      <c r="P813" s="132"/>
      <c r="Q813" s="139">
        <f t="shared" si="640"/>
        <v>0</v>
      </c>
    </row>
    <row r="814" spans="1:17" ht="12.75" hidden="1">
      <c r="A814" s="392"/>
      <c r="B814" s="393"/>
      <c r="C814" s="600" t="s">
        <v>838</v>
      </c>
      <c r="D814" s="418"/>
      <c r="E814" s="396"/>
      <c r="F814" s="396"/>
      <c r="G814" s="598">
        <f t="shared" si="653"/>
        <v>0</v>
      </c>
      <c r="H814" s="585"/>
      <c r="I814" s="618"/>
      <c r="J814" s="618"/>
      <c r="K814" s="137">
        <f t="shared" si="651"/>
        <v>0</v>
      </c>
      <c r="L814" s="137">
        <f t="shared" si="642"/>
        <v>0</v>
      </c>
      <c r="M814" s="132"/>
      <c r="N814" s="132"/>
      <c r="O814" s="132"/>
      <c r="P814" s="132"/>
      <c r="Q814" s="139">
        <f t="shared" si="640"/>
        <v>0</v>
      </c>
    </row>
    <row r="815" spans="1:17" s="2" customFormat="1" ht="12.75">
      <c r="A815" s="416"/>
      <c r="B815" s="596"/>
      <c r="C815" s="600" t="s">
        <v>753</v>
      </c>
      <c r="D815" s="418"/>
      <c r="E815" s="419">
        <v>16382.4</v>
      </c>
      <c r="F815" s="419"/>
      <c r="G815" s="598">
        <f t="shared" si="653"/>
        <v>16382.4</v>
      </c>
      <c r="H815" s="585"/>
      <c r="I815" s="618"/>
      <c r="J815" s="618"/>
      <c r="K815" s="137">
        <f t="shared" si="651"/>
        <v>32764.799999999999</v>
      </c>
      <c r="L815" s="137">
        <f t="shared" si="642"/>
        <v>16382.4</v>
      </c>
      <c r="M815" s="169"/>
      <c r="N815" s="169"/>
      <c r="O815" s="169"/>
      <c r="P815" s="169"/>
      <c r="Q815" s="139">
        <f t="shared" si="640"/>
        <v>0</v>
      </c>
    </row>
    <row r="816" spans="1:17" ht="25.5" hidden="1" customHeight="1">
      <c r="A816" s="385"/>
      <c r="B816" s="386"/>
      <c r="C816" s="412" t="s">
        <v>840</v>
      </c>
      <c r="D816" s="547"/>
      <c r="E816" s="406"/>
      <c r="F816" s="406"/>
      <c r="G816" s="584">
        <f t="shared" si="639"/>
        <v>0</v>
      </c>
      <c r="H816" s="585"/>
      <c r="I816" s="618"/>
      <c r="J816" s="618"/>
      <c r="K816" s="145">
        <f t="shared" si="525"/>
        <v>0</v>
      </c>
      <c r="L816" s="145">
        <f t="shared" si="642"/>
        <v>0</v>
      </c>
      <c r="M816" s="5"/>
      <c r="N816" s="5"/>
      <c r="O816" s="5"/>
      <c r="P816" s="5"/>
      <c r="Q816" s="139">
        <f t="shared" si="640"/>
        <v>0</v>
      </c>
    </row>
    <row r="817" spans="1:17" s="1" customFormat="1" ht="25.5" hidden="1" customHeight="1">
      <c r="A817" s="586"/>
      <c r="B817" s="587"/>
      <c r="C817" s="588" t="s">
        <v>841</v>
      </c>
      <c r="D817" s="589"/>
      <c r="E817" s="590">
        <f>SUM(E818:E819)</f>
        <v>0</v>
      </c>
      <c r="F817" s="590">
        <f>SUM(F818:F819)</f>
        <v>0</v>
      </c>
      <c r="G817" s="591">
        <f t="shared" si="639"/>
        <v>0</v>
      </c>
      <c r="H817" s="585"/>
      <c r="I817" s="618"/>
      <c r="J817" s="618"/>
      <c r="K817" s="137">
        <f t="shared" si="525"/>
        <v>0</v>
      </c>
      <c r="L817" s="137">
        <f t="shared" si="642"/>
        <v>0</v>
      </c>
      <c r="M817" s="144"/>
      <c r="N817" s="144"/>
      <c r="O817" s="144"/>
      <c r="P817" s="144"/>
      <c r="Q817" s="139">
        <f t="shared" si="640"/>
        <v>0</v>
      </c>
    </row>
    <row r="818" spans="1:17" s="66" customFormat="1" ht="12.75" hidden="1" customHeight="1">
      <c r="A818" s="601"/>
      <c r="B818" s="602"/>
      <c r="C818" s="593" t="s">
        <v>842</v>
      </c>
      <c r="D818" s="603"/>
      <c r="E818" s="604"/>
      <c r="F818" s="604"/>
      <c r="G818" s="605">
        <f t="shared" si="639"/>
        <v>0</v>
      </c>
      <c r="H818" s="606"/>
      <c r="I818" s="620"/>
      <c r="J818" s="620"/>
      <c r="K818" s="621">
        <f>SUM(E818:G818)</f>
        <v>0</v>
      </c>
      <c r="L818" s="621">
        <f t="shared" si="642"/>
        <v>0</v>
      </c>
      <c r="M818" s="622"/>
      <c r="N818" s="622"/>
      <c r="O818" s="622"/>
      <c r="P818" s="622"/>
      <c r="Q818" s="139">
        <f t="shared" si="640"/>
        <v>0</v>
      </c>
    </row>
    <row r="819" spans="1:17" s="66" customFormat="1" ht="12.75" hidden="1" customHeight="1">
      <c r="A819" s="601"/>
      <c r="B819" s="602"/>
      <c r="C819" s="593" t="s">
        <v>830</v>
      </c>
      <c r="D819" s="603"/>
      <c r="E819" s="604"/>
      <c r="F819" s="604"/>
      <c r="G819" s="605">
        <f t="shared" si="639"/>
        <v>0</v>
      </c>
      <c r="H819" s="606"/>
      <c r="I819" s="620"/>
      <c r="J819" s="620"/>
      <c r="K819" s="621">
        <f>SUM(E819:G819)</f>
        <v>0</v>
      </c>
      <c r="L819" s="621">
        <f t="shared" si="642"/>
        <v>0</v>
      </c>
      <c r="M819" s="622"/>
      <c r="N819" s="622"/>
      <c r="O819" s="622"/>
      <c r="P819" s="622"/>
      <c r="Q819" s="139">
        <f t="shared" si="640"/>
        <v>0</v>
      </c>
    </row>
    <row r="820" spans="1:17" ht="12.75" hidden="1" customHeight="1">
      <c r="A820" s="392"/>
      <c r="B820" s="393"/>
      <c r="C820" s="394" t="s">
        <v>732</v>
      </c>
      <c r="D820" s="414"/>
      <c r="E820" s="555">
        <f>E795+E818+E806</f>
        <v>0</v>
      </c>
      <c r="F820" s="555">
        <f>F795+F818+F806</f>
        <v>0</v>
      </c>
      <c r="G820" s="397">
        <f t="shared" si="639"/>
        <v>0</v>
      </c>
      <c r="H820" s="391">
        <f>ROUND(F820*H$7,)</f>
        <v>0</v>
      </c>
      <c r="I820" s="447">
        <f>ROUND(H820*I$7,)</f>
        <v>0</v>
      </c>
      <c r="J820" s="447">
        <f>ROUND(I820*J$7,)</f>
        <v>0</v>
      </c>
      <c r="K820" s="137">
        <f t="shared" si="525"/>
        <v>0</v>
      </c>
      <c r="L820" s="137">
        <f t="shared" si="642"/>
        <v>0</v>
      </c>
      <c r="M820" s="132"/>
      <c r="N820" s="132"/>
      <c r="O820" s="132"/>
      <c r="P820" s="132"/>
      <c r="Q820" s="139">
        <f t="shared" si="640"/>
        <v>0</v>
      </c>
    </row>
    <row r="821" spans="1:17" ht="12.75" customHeight="1">
      <c r="A821" s="392"/>
      <c r="B821" s="393"/>
      <c r="C821" s="394" t="s">
        <v>733</v>
      </c>
      <c r="D821" s="414"/>
      <c r="E821" s="396">
        <f>SUM(E793,E807,E808,E809,E819,E796:E797,E798)</f>
        <v>44627.5</v>
      </c>
      <c r="F821" s="396">
        <f>SUM(F793,F807,F808,F809,F819,F796:F797,F798)</f>
        <v>0</v>
      </c>
      <c r="G821" s="397">
        <f t="shared" ref="G821" si="654">SUM(G793,G807,G808,G809,G819,G796:G797,G798)</f>
        <v>44627.5</v>
      </c>
      <c r="H821" s="399"/>
      <c r="I821" s="449"/>
      <c r="J821" s="449"/>
      <c r="K821" s="137">
        <f t="shared" si="525"/>
        <v>89255</v>
      </c>
      <c r="L821" s="137">
        <f t="shared" si="642"/>
        <v>44627.5</v>
      </c>
      <c r="M821" s="132"/>
      <c r="N821" s="132"/>
      <c r="O821" s="132"/>
      <c r="P821" s="132"/>
      <c r="Q821" s="139">
        <f t="shared" si="640"/>
        <v>0</v>
      </c>
    </row>
    <row r="822" spans="1:17" ht="24" hidden="1" customHeight="1">
      <c r="A822" s="378" t="s">
        <v>843</v>
      </c>
      <c r="B822" s="379"/>
      <c r="C822" s="380"/>
      <c r="D822" s="381" t="s">
        <v>844</v>
      </c>
      <c r="E822" s="382">
        <f t="shared" ref="E822:F822" si="655">SUM(E824,E823)</f>
        <v>0</v>
      </c>
      <c r="F822" s="382">
        <f t="shared" si="655"/>
        <v>0</v>
      </c>
      <c r="G822" s="383">
        <f t="shared" ref="G822:J822" si="656">SUM(G824,G823)</f>
        <v>0</v>
      </c>
      <c r="H822" s="540">
        <f t="shared" si="656"/>
        <v>0</v>
      </c>
      <c r="I822" s="568">
        <f t="shared" si="656"/>
        <v>0</v>
      </c>
      <c r="J822" s="568">
        <f t="shared" si="656"/>
        <v>0</v>
      </c>
      <c r="K822" s="137">
        <f t="shared" si="525"/>
        <v>0</v>
      </c>
      <c r="L822" s="137">
        <f t="shared" si="642"/>
        <v>0</v>
      </c>
      <c r="M822" s="132"/>
      <c r="N822" s="132"/>
      <c r="O822" s="132"/>
      <c r="P822" s="132"/>
      <c r="Q822" s="139">
        <f t="shared" si="640"/>
        <v>0</v>
      </c>
    </row>
    <row r="823" spans="1:17" ht="12.75" hidden="1" customHeight="1">
      <c r="A823" s="385"/>
      <c r="B823" s="386"/>
      <c r="C823" s="387" t="s">
        <v>732</v>
      </c>
      <c r="D823" s="388"/>
      <c r="E823" s="406"/>
      <c r="F823" s="406"/>
      <c r="G823" s="607">
        <f>SUM(F823,E823)</f>
        <v>0</v>
      </c>
      <c r="H823" s="399"/>
      <c r="I823" s="449"/>
      <c r="J823" s="449"/>
      <c r="K823" s="145">
        <f t="shared" si="525"/>
        <v>0</v>
      </c>
      <c r="L823" s="145">
        <f t="shared" si="642"/>
        <v>0</v>
      </c>
      <c r="M823" s="5"/>
      <c r="N823" s="5"/>
      <c r="O823" s="5"/>
      <c r="P823" s="5"/>
      <c r="Q823" s="139">
        <f t="shared" si="640"/>
        <v>0</v>
      </c>
    </row>
    <row r="824" spans="1:17" ht="12.75" hidden="1" customHeight="1">
      <c r="A824" s="392"/>
      <c r="B824" s="393"/>
      <c r="C824" s="394" t="s">
        <v>733</v>
      </c>
      <c r="D824" s="395"/>
      <c r="E824" s="396"/>
      <c r="F824" s="396"/>
      <c r="G824" s="397">
        <f>SUM(F824,E824)</f>
        <v>0</v>
      </c>
      <c r="H824" s="399"/>
      <c r="I824" s="449"/>
      <c r="J824" s="449"/>
      <c r="K824" s="137">
        <f t="shared" si="525"/>
        <v>0</v>
      </c>
      <c r="L824" s="137">
        <f t="shared" si="642"/>
        <v>0</v>
      </c>
      <c r="M824" s="132"/>
      <c r="N824" s="132"/>
      <c r="O824" s="132"/>
      <c r="P824" s="132"/>
      <c r="Q824" s="139">
        <f t="shared" si="640"/>
        <v>0</v>
      </c>
    </row>
    <row r="825" spans="1:17" ht="12.75" hidden="1" customHeight="1">
      <c r="A825" s="425" t="s">
        <v>742</v>
      </c>
      <c r="B825" s="426"/>
      <c r="C825" s="427"/>
      <c r="D825" s="428"/>
      <c r="E825" s="429">
        <f t="shared" ref="E825:F825" si="657">SUM(E826)</f>
        <v>0</v>
      </c>
      <c r="F825" s="429">
        <f t="shared" si="657"/>
        <v>0</v>
      </c>
      <c r="G825" s="608">
        <f t="shared" ref="G825:J825" si="658">SUM(G826)</f>
        <v>0</v>
      </c>
      <c r="H825" s="609">
        <f t="shared" si="658"/>
        <v>0</v>
      </c>
      <c r="I825" s="623">
        <f t="shared" si="658"/>
        <v>0</v>
      </c>
      <c r="J825" s="623">
        <f t="shared" si="658"/>
        <v>0</v>
      </c>
      <c r="K825" s="145">
        <f t="shared" si="525"/>
        <v>0</v>
      </c>
      <c r="L825" s="145">
        <f t="shared" si="642"/>
        <v>0</v>
      </c>
      <c r="M825" s="5"/>
      <c r="N825" s="5"/>
      <c r="O825" s="5"/>
      <c r="P825" s="5"/>
      <c r="Q825" s="139">
        <f t="shared" si="640"/>
        <v>0</v>
      </c>
    </row>
    <row r="826" spans="1:17" ht="12.75" hidden="1" customHeight="1">
      <c r="A826" s="385"/>
      <c r="B826" s="386"/>
      <c r="C826" s="387" t="s">
        <v>733</v>
      </c>
      <c r="D826" s="388"/>
      <c r="E826" s="610"/>
      <c r="F826" s="610"/>
      <c r="G826" s="390">
        <f>SUM(F826,E826)</f>
        <v>0</v>
      </c>
      <c r="H826" s="611"/>
      <c r="I826" s="624"/>
      <c r="J826" s="624"/>
      <c r="K826" s="145">
        <f t="shared" si="525"/>
        <v>0</v>
      </c>
      <c r="L826" s="145">
        <f t="shared" si="642"/>
        <v>0</v>
      </c>
      <c r="M826" s="5"/>
      <c r="N826" s="5"/>
      <c r="O826" s="5"/>
      <c r="P826" s="5"/>
      <c r="Q826" s="139">
        <f t="shared" si="640"/>
        <v>0</v>
      </c>
    </row>
    <row r="827" spans="1:17" ht="12.75" customHeight="1">
      <c r="A827" s="350" t="s">
        <v>845</v>
      </c>
      <c r="B827" s="351"/>
      <c r="C827" s="352"/>
      <c r="D827" s="353"/>
      <c r="E827" s="369">
        <f>SUM(E831,E862,E866,E873,E875,E877,E889,E879,E895,E898,E886)</f>
        <v>31876.7</v>
      </c>
      <c r="F827" s="369">
        <f t="shared" ref="F827:G827" si="659">SUM(F831,F862,F866,F873,F875,F877,F889,F879,F895,F898,F886)</f>
        <v>0</v>
      </c>
      <c r="G827" s="370">
        <f t="shared" si="659"/>
        <v>31876.7</v>
      </c>
      <c r="H827" s="356">
        <f>SUM(H831,H862,H873,H877,H879,H866,H875,H895)</f>
        <v>0</v>
      </c>
      <c r="I827" s="442">
        <f>SUM(I831,I862,I873,I877,I879,I866,I875,I895)</f>
        <v>0</v>
      </c>
      <c r="J827" s="442">
        <f>SUM(J831,J862,J873,J877,J879,J866,J875,J895)</f>
        <v>0</v>
      </c>
      <c r="K827" s="137">
        <f t="shared" si="525"/>
        <v>63753.4</v>
      </c>
      <c r="L827" s="137">
        <f t="shared" si="642"/>
        <v>31876.7</v>
      </c>
      <c r="M827" s="134">
        <f>G827-G828</f>
        <v>0</v>
      </c>
      <c r="N827" s="132"/>
      <c r="O827" s="132"/>
      <c r="P827" s="132"/>
      <c r="Q827" s="139">
        <f t="shared" si="640"/>
        <v>0</v>
      </c>
    </row>
    <row r="828" spans="1:17" ht="12.75" customHeight="1">
      <c r="A828" s="432"/>
      <c r="B828" s="433" t="s">
        <v>756</v>
      </c>
      <c r="C828" s="434"/>
      <c r="D828" s="435"/>
      <c r="E828" s="436">
        <f>E829+E830</f>
        <v>31876.7</v>
      </c>
      <c r="F828" s="436">
        <f>F829+F830</f>
        <v>0</v>
      </c>
      <c r="G828" s="437">
        <f>G829+G830</f>
        <v>31876.7</v>
      </c>
      <c r="H828" s="438">
        <f>SUM(H829:H830)</f>
        <v>0</v>
      </c>
      <c r="I828" s="457">
        <f>SUM(I829:I830)</f>
        <v>0</v>
      </c>
      <c r="J828" s="457">
        <f>SUM(J829:J830)</f>
        <v>0</v>
      </c>
      <c r="K828" s="137">
        <f t="shared" si="525"/>
        <v>63753.4</v>
      </c>
      <c r="L828" s="137">
        <f t="shared" si="642"/>
        <v>31876.7</v>
      </c>
      <c r="M828" s="132"/>
      <c r="N828" s="132"/>
      <c r="O828" s="132"/>
      <c r="P828" s="132"/>
      <c r="Q828" s="139">
        <f t="shared" si="640"/>
        <v>0</v>
      </c>
    </row>
    <row r="829" spans="1:17" ht="12.75" customHeight="1">
      <c r="A829" s="432"/>
      <c r="B829" s="433" t="s">
        <v>732</v>
      </c>
      <c r="C829" s="434"/>
      <c r="D829" s="435"/>
      <c r="E829" s="436">
        <f>SUM(E839,E845,E848,E851,E864,E868,E871,E874,E876,E878,E890,E896,E899,E835,E860,E884,E887)</f>
        <v>23356.2</v>
      </c>
      <c r="F829" s="436">
        <f>SUM(F839,F845,F848,F851,F864,F868,F871,F874,F876,F878,F890,F896,F899,F835,F860,F884,F887)</f>
        <v>0</v>
      </c>
      <c r="G829" s="437">
        <f>SUM(G839,G845,G848,G851,G864,G868,G871,G874,G876,G878,G890,G896,G899,G835,G860,G884,G887)</f>
        <v>23356.2</v>
      </c>
      <c r="H829" s="438">
        <f>SUM(H839,H845,H848,H851,H864,H868,H871,H874,H878,H876,H896)</f>
        <v>0</v>
      </c>
      <c r="I829" s="457">
        <f>SUM(I839,I845,I848,I851,I864,I868,I871,I874,I878,I876,I896)</f>
        <v>0</v>
      </c>
      <c r="J829" s="457">
        <f>SUM(J839,J845,J848,J851,J864,J868,J871,J874,J878,J876,J896)</f>
        <v>0</v>
      </c>
      <c r="K829" s="137">
        <f t="shared" si="525"/>
        <v>46712.4</v>
      </c>
      <c r="L829" s="137">
        <f t="shared" si="642"/>
        <v>23356.2</v>
      </c>
      <c r="M829" s="132"/>
      <c r="N829" s="132"/>
      <c r="O829" s="132"/>
      <c r="P829" s="132"/>
      <c r="Q829" s="139">
        <f t="shared" si="640"/>
        <v>0</v>
      </c>
    </row>
    <row r="830" spans="1:17" ht="12.75" customHeight="1">
      <c r="A830" s="432"/>
      <c r="B830" s="433" t="s">
        <v>733</v>
      </c>
      <c r="C830" s="434"/>
      <c r="D830" s="435"/>
      <c r="E830" s="436">
        <f>SUM(E840,E846,E849,E852,E865,E869,E872,E885,E897,E900,E861,E888)</f>
        <v>8520.5</v>
      </c>
      <c r="F830" s="436">
        <f>SUM(F840,F846,F849,F852,F865,F869,F872,F885,F897,F900,F861,F888)</f>
        <v>0</v>
      </c>
      <c r="G830" s="437">
        <f>SUM(G840,G846,G849,G852,G865,G869,G872,G885,G897,G900,G861,G888)</f>
        <v>8520.5</v>
      </c>
      <c r="H830" s="438">
        <f>SUM(H840,H846,H849,H852,H865,H869,H872,H885,H876,H897)</f>
        <v>0</v>
      </c>
      <c r="I830" s="457">
        <f>SUM(I840,I846,I849,I852,I865,I869,I872,I885,I876,I897)</f>
        <v>0</v>
      </c>
      <c r="J830" s="457">
        <f>SUM(J840,J846,J849,J852,J865,J869,J872,J885,J876,J897)</f>
        <v>0</v>
      </c>
      <c r="K830" s="137">
        <f t="shared" si="525"/>
        <v>17041</v>
      </c>
      <c r="L830" s="137">
        <f t="shared" si="642"/>
        <v>8520.5</v>
      </c>
      <c r="M830" s="132"/>
      <c r="N830" s="132"/>
      <c r="O830" s="132"/>
      <c r="P830" s="132"/>
      <c r="Q830" s="139">
        <f t="shared" si="640"/>
        <v>0</v>
      </c>
    </row>
    <row r="831" spans="1:17" ht="12.75" customHeight="1">
      <c r="A831" s="371" t="s">
        <v>846</v>
      </c>
      <c r="B831" s="372"/>
      <c r="C831" s="373"/>
      <c r="D831" s="374"/>
      <c r="E831" s="375">
        <f>SUM(E832,E841,E847,E850,E856)</f>
        <v>23110</v>
      </c>
      <c r="F831" s="375">
        <f>SUM(F832,F841,F847,F850,F856)</f>
        <v>0</v>
      </c>
      <c r="G831" s="376">
        <f>SUM(G832,G841,G847,G850,G856)</f>
        <v>23110</v>
      </c>
      <c r="H831" s="377">
        <f>SUM(H832,H841,H847,H850)</f>
        <v>0</v>
      </c>
      <c r="I831" s="445">
        <f>SUM(I832,I841,I847,I850)</f>
        <v>0</v>
      </c>
      <c r="J831" s="445">
        <f>SUM(J832,J841,J847,J850)</f>
        <v>0</v>
      </c>
      <c r="K831" s="137">
        <f t="shared" si="525"/>
        <v>46220</v>
      </c>
      <c r="L831" s="137">
        <f t="shared" si="642"/>
        <v>23110</v>
      </c>
      <c r="M831" s="132"/>
      <c r="N831" s="132"/>
      <c r="O831" s="132"/>
      <c r="P831" s="132"/>
      <c r="Q831" s="139">
        <f t="shared" si="640"/>
        <v>0</v>
      </c>
    </row>
    <row r="832" spans="1:17" ht="12.75" customHeight="1">
      <c r="A832" s="378" t="s">
        <v>847</v>
      </c>
      <c r="B832" s="379"/>
      <c r="C832" s="380"/>
      <c r="D832" s="381">
        <v>67020303</v>
      </c>
      <c r="E832" s="382">
        <f>SUM(E833,E834,E837)</f>
        <v>7150</v>
      </c>
      <c r="F832" s="382">
        <f>SUM(F833,F834,F837)</f>
        <v>0</v>
      </c>
      <c r="G832" s="383">
        <f>SUM(G833,G834,G837)</f>
        <v>7150</v>
      </c>
      <c r="H832" s="384">
        <f>SUM(H833:H837)</f>
        <v>0</v>
      </c>
      <c r="I832" s="446">
        <f>SUM(I833:I837)</f>
        <v>0</v>
      </c>
      <c r="J832" s="446">
        <f>SUM(J833:J837)</f>
        <v>0</v>
      </c>
      <c r="K832" s="137">
        <f t="shared" si="525"/>
        <v>14300</v>
      </c>
      <c r="L832" s="137">
        <f t="shared" si="642"/>
        <v>7150</v>
      </c>
      <c r="M832" s="132"/>
      <c r="N832" s="132"/>
      <c r="O832" s="132"/>
      <c r="P832" s="132"/>
      <c r="Q832" s="139">
        <f t="shared" si="640"/>
        <v>0</v>
      </c>
    </row>
    <row r="833" spans="1:17" ht="12.75" customHeight="1">
      <c r="A833" s="392" t="s">
        <v>790</v>
      </c>
      <c r="B833" s="393"/>
      <c r="C833" s="394"/>
      <c r="D833" s="395"/>
      <c r="E833" s="408">
        <f>E839+E840</f>
        <v>7150</v>
      </c>
      <c r="F833" s="408">
        <f>F839+F840</f>
        <v>0</v>
      </c>
      <c r="G833" s="397">
        <f>SUM(F833,E833)</f>
        <v>7150</v>
      </c>
      <c r="H833" s="202">
        <f>ROUND(F833*H$7,)</f>
        <v>0</v>
      </c>
      <c r="I833" s="210">
        <f>ROUND(F833*I$7,)</f>
        <v>0</v>
      </c>
      <c r="J833" s="210">
        <f>ROUND(F833*J$7,)</f>
        <v>0</v>
      </c>
      <c r="K833" s="137">
        <f t="shared" si="525"/>
        <v>14300</v>
      </c>
      <c r="L833" s="137">
        <f t="shared" si="642"/>
        <v>7150</v>
      </c>
      <c r="M833" s="132"/>
      <c r="N833" s="132"/>
      <c r="O833" s="132"/>
      <c r="P833" s="132"/>
      <c r="Q833" s="139">
        <f t="shared" si="640"/>
        <v>0</v>
      </c>
    </row>
    <row r="834" spans="1:17" ht="12.75" hidden="1" customHeight="1">
      <c r="A834" s="385" t="s">
        <v>742</v>
      </c>
      <c r="B834" s="386"/>
      <c r="C834" s="387"/>
      <c r="D834" s="403"/>
      <c r="E834" s="474">
        <f>SUBTOTAL(9,E835)</f>
        <v>0</v>
      </c>
      <c r="F834" s="474">
        <f>SUBTOTAL(9,F835)</f>
        <v>0</v>
      </c>
      <c r="G834" s="390">
        <f>SUM(F834,E834)</f>
        <v>0</v>
      </c>
      <c r="H834" s="202"/>
      <c r="I834" s="210"/>
      <c r="J834" s="210"/>
      <c r="K834" s="145"/>
      <c r="L834" s="145">
        <f t="shared" si="642"/>
        <v>0</v>
      </c>
      <c r="M834" s="5"/>
      <c r="N834" s="5"/>
      <c r="O834" s="5"/>
      <c r="P834" s="5"/>
      <c r="Q834" s="139">
        <f t="shared" si="640"/>
        <v>0</v>
      </c>
    </row>
    <row r="835" spans="1:17" ht="12.75" hidden="1" customHeight="1">
      <c r="A835" s="544"/>
      <c r="B835" s="612"/>
      <c r="C835" s="546" t="s">
        <v>732</v>
      </c>
      <c r="D835" s="547"/>
      <c r="E835" s="504">
        <f>SUM(E836:E837)</f>
        <v>0</v>
      </c>
      <c r="F835" s="504">
        <f>SUM(F836:F837)</f>
        <v>0</v>
      </c>
      <c r="G835" s="549">
        <f>SUM(F835,E835)</f>
        <v>0</v>
      </c>
      <c r="H835" s="550"/>
      <c r="I835" s="571"/>
      <c r="J835" s="571"/>
      <c r="K835" s="153">
        <f t="shared" ref="K835:K903" si="660">SUM(E835:G835)</f>
        <v>0</v>
      </c>
      <c r="L835" s="153">
        <f t="shared" si="642"/>
        <v>0</v>
      </c>
      <c r="M835" s="168"/>
      <c r="N835" s="168"/>
      <c r="O835" s="168"/>
      <c r="P835" s="168"/>
      <c r="Q835" s="139">
        <f t="shared" si="640"/>
        <v>0</v>
      </c>
    </row>
    <row r="836" spans="1:17" ht="12.75" hidden="1" customHeight="1">
      <c r="A836" s="544"/>
      <c r="B836" s="612"/>
      <c r="C836" s="546" t="s">
        <v>733</v>
      </c>
      <c r="D836" s="547"/>
      <c r="E836" s="504"/>
      <c r="F836" s="504"/>
      <c r="G836" s="549">
        <f>SUM(F836,E836)</f>
        <v>0</v>
      </c>
      <c r="H836" s="550"/>
      <c r="I836" s="571"/>
      <c r="J836" s="571"/>
      <c r="K836" s="153">
        <f t="shared" si="660"/>
        <v>0</v>
      </c>
      <c r="L836" s="153">
        <f t="shared" si="642"/>
        <v>0</v>
      </c>
      <c r="M836" s="168"/>
      <c r="N836" s="168"/>
      <c r="O836" s="168"/>
      <c r="P836" s="168"/>
      <c r="Q836" s="139">
        <f t="shared" si="640"/>
        <v>0</v>
      </c>
    </row>
    <row r="837" spans="1:17" ht="12.75" hidden="1" customHeight="1">
      <c r="A837" s="385" t="s">
        <v>794</v>
      </c>
      <c r="B837" s="386"/>
      <c r="C837" s="387"/>
      <c r="D837" s="388"/>
      <c r="E837" s="389"/>
      <c r="F837" s="389"/>
      <c r="G837" s="390">
        <f>SUM(F837,E837)</f>
        <v>0</v>
      </c>
      <c r="H837" s="543">
        <f>ROUND(F837*H$7,)</f>
        <v>0</v>
      </c>
      <c r="I837" s="570">
        <f>ROUND(H837*I$7,)</f>
        <v>0</v>
      </c>
      <c r="J837" s="570">
        <f>ROUND(I837*J$7,)</f>
        <v>0</v>
      </c>
      <c r="K837" s="145">
        <f t="shared" si="660"/>
        <v>0</v>
      </c>
      <c r="L837" s="145">
        <f t="shared" si="642"/>
        <v>0</v>
      </c>
      <c r="M837" s="5"/>
      <c r="N837" s="5"/>
      <c r="O837" s="5"/>
      <c r="P837" s="5"/>
      <c r="Q837" s="139">
        <f t="shared" si="640"/>
        <v>0</v>
      </c>
    </row>
    <row r="838" spans="1:17" ht="12.75" customHeight="1">
      <c r="A838" s="378"/>
      <c r="B838" s="539" t="s">
        <v>731</v>
      </c>
      <c r="C838" s="380"/>
      <c r="D838" s="381"/>
      <c r="E838" s="382">
        <f t="shared" ref="E838:F838" si="661">SUM(E839:E840)</f>
        <v>7150</v>
      </c>
      <c r="F838" s="382">
        <f t="shared" si="661"/>
        <v>0</v>
      </c>
      <c r="G838" s="383">
        <f t="shared" ref="G838" si="662">SUM(G839:G840)</f>
        <v>7150</v>
      </c>
      <c r="H838" s="540">
        <f t="shared" ref="H838:J838" si="663">SUM(H839:H840)</f>
        <v>0</v>
      </c>
      <c r="I838" s="568">
        <f t="shared" si="663"/>
        <v>0</v>
      </c>
      <c r="J838" s="568">
        <f t="shared" si="663"/>
        <v>0</v>
      </c>
      <c r="K838" s="137">
        <f t="shared" si="660"/>
        <v>14300</v>
      </c>
      <c r="L838" s="137">
        <f t="shared" si="642"/>
        <v>7150</v>
      </c>
      <c r="M838" s="132"/>
      <c r="N838" s="132"/>
      <c r="O838" s="132"/>
      <c r="P838" s="132"/>
      <c r="Q838" s="139">
        <f t="shared" si="640"/>
        <v>0</v>
      </c>
    </row>
    <row r="839" spans="1:17" ht="15" customHeight="1">
      <c r="A839" s="392"/>
      <c r="B839" s="393"/>
      <c r="C839" s="394" t="s">
        <v>732</v>
      </c>
      <c r="D839" s="395"/>
      <c r="E839" s="419">
        <v>7000</v>
      </c>
      <c r="F839" s="419"/>
      <c r="G839" s="397">
        <f>SUM(F839,E839)</f>
        <v>7000</v>
      </c>
      <c r="H839" s="202">
        <f>ROUND(F839*H$7,)</f>
        <v>0</v>
      </c>
      <c r="I839" s="210">
        <f>ROUND(F839*I$7,)</f>
        <v>0</v>
      </c>
      <c r="J839" s="210">
        <f>ROUND(F839*J$7,)</f>
        <v>0</v>
      </c>
      <c r="K839" s="137">
        <f t="shared" si="660"/>
        <v>14000</v>
      </c>
      <c r="L839" s="137">
        <f t="shared" si="642"/>
        <v>7000</v>
      </c>
      <c r="M839" s="450">
        <v>1.1000000000000001</v>
      </c>
      <c r="N839" s="132"/>
      <c r="O839" s="132"/>
      <c r="P839" s="132"/>
      <c r="Q839" s="139">
        <f t="shared" si="640"/>
        <v>0</v>
      </c>
    </row>
    <row r="840" spans="1:17" ht="12.75" customHeight="1">
      <c r="A840" s="392"/>
      <c r="B840" s="393"/>
      <c r="C840" s="394" t="s">
        <v>733</v>
      </c>
      <c r="D840" s="395"/>
      <c r="E840" s="419">
        <v>150</v>
      </c>
      <c r="F840" s="419"/>
      <c r="G840" s="397">
        <f>SUM(F840,E840)</f>
        <v>150</v>
      </c>
      <c r="H840" s="543">
        <f>ROUND(F840*H$7,)</f>
        <v>0</v>
      </c>
      <c r="I840" s="570">
        <f>ROUND(H840*I$7,)</f>
        <v>0</v>
      </c>
      <c r="J840" s="570">
        <f>ROUND(I840*J$7,)</f>
        <v>0</v>
      </c>
      <c r="K840" s="137">
        <f t="shared" si="660"/>
        <v>300</v>
      </c>
      <c r="L840" s="137">
        <f t="shared" si="642"/>
        <v>150</v>
      </c>
      <c r="M840" s="132"/>
      <c r="N840" s="132"/>
      <c r="O840" s="132"/>
      <c r="P840" s="132"/>
      <c r="Q840" s="139">
        <f t="shared" si="640"/>
        <v>0</v>
      </c>
    </row>
    <row r="841" spans="1:17" ht="12.75" customHeight="1">
      <c r="A841" s="378" t="s">
        <v>848</v>
      </c>
      <c r="B841" s="379"/>
      <c r="C841" s="380"/>
      <c r="D841" s="381">
        <v>67020305</v>
      </c>
      <c r="E841" s="382">
        <f t="shared" ref="E841:F841" si="664">SUM(E842:E843)</f>
        <v>2000</v>
      </c>
      <c r="F841" s="382">
        <f t="shared" si="664"/>
        <v>0</v>
      </c>
      <c r="G841" s="383">
        <f t="shared" ref="G841" si="665">SUM(G842:G843)</f>
        <v>2000</v>
      </c>
      <c r="H841" s="540">
        <f t="shared" ref="H841:J841" si="666">SUM(H842:H843)</f>
        <v>0</v>
      </c>
      <c r="I841" s="568">
        <f t="shared" si="666"/>
        <v>0</v>
      </c>
      <c r="J841" s="568">
        <f t="shared" si="666"/>
        <v>0</v>
      </c>
      <c r="K841" s="137">
        <f t="shared" si="660"/>
        <v>4000</v>
      </c>
      <c r="L841" s="137">
        <f t="shared" si="642"/>
        <v>2000</v>
      </c>
      <c r="M841" s="132"/>
      <c r="N841" s="132"/>
      <c r="O841" s="132"/>
      <c r="P841" s="132"/>
      <c r="Q841" s="139">
        <f t="shared" si="640"/>
        <v>0</v>
      </c>
    </row>
    <row r="842" spans="1:17" ht="12.75" customHeight="1">
      <c r="A842" s="392" t="s">
        <v>790</v>
      </c>
      <c r="B842" s="393"/>
      <c r="C842" s="394"/>
      <c r="D842" s="395"/>
      <c r="E842" s="408">
        <f>E845+E846</f>
        <v>2000</v>
      </c>
      <c r="F842" s="408">
        <f>F845+F846</f>
        <v>0</v>
      </c>
      <c r="G842" s="397">
        <f>SUM(F842,E842)</f>
        <v>2000</v>
      </c>
      <c r="H842" s="580">
        <f>ROUND(F842*H$7,)</f>
        <v>0</v>
      </c>
      <c r="I842" s="616">
        <f>ROUND(F842*I$7,)</f>
        <v>0</v>
      </c>
      <c r="J842" s="616">
        <f>ROUND(F842*J$7,)</f>
        <v>0</v>
      </c>
      <c r="K842" s="137">
        <f t="shared" si="660"/>
        <v>4000</v>
      </c>
      <c r="L842" s="137">
        <f t="shared" si="642"/>
        <v>2000</v>
      </c>
      <c r="M842" s="132"/>
      <c r="N842" s="132"/>
      <c r="O842" s="132"/>
      <c r="P842" s="132"/>
      <c r="Q842" s="139">
        <f t="shared" si="640"/>
        <v>0</v>
      </c>
    </row>
    <row r="843" spans="1:17" ht="12.75" hidden="1" customHeight="1">
      <c r="A843" s="385" t="s">
        <v>794</v>
      </c>
      <c r="B843" s="386"/>
      <c r="C843" s="387"/>
      <c r="D843" s="403"/>
      <c r="E843" s="389"/>
      <c r="F843" s="389"/>
      <c r="G843" s="390">
        <f>SUM(F843,E843)</f>
        <v>0</v>
      </c>
      <c r="H843" s="398">
        <f>ROUND(F843*H$7,)</f>
        <v>0</v>
      </c>
      <c r="I843" s="448">
        <f>ROUND(F843*I$7,)</f>
        <v>0</v>
      </c>
      <c r="J843" s="448">
        <f>ROUND(F843*J$7,)</f>
        <v>0</v>
      </c>
      <c r="K843" s="145">
        <f t="shared" si="660"/>
        <v>0</v>
      </c>
      <c r="L843" s="145">
        <f t="shared" si="642"/>
        <v>0</v>
      </c>
      <c r="M843" s="5"/>
      <c r="N843" s="5"/>
      <c r="O843" s="5"/>
      <c r="P843" s="5"/>
      <c r="Q843" s="139">
        <f t="shared" si="640"/>
        <v>0</v>
      </c>
    </row>
    <row r="844" spans="1:17" ht="12.75" customHeight="1">
      <c r="A844" s="378"/>
      <c r="B844" s="539" t="s">
        <v>731</v>
      </c>
      <c r="C844" s="380"/>
      <c r="D844" s="381"/>
      <c r="E844" s="382">
        <f t="shared" ref="E844:F844" si="667">SUM(E845:E846)</f>
        <v>2000</v>
      </c>
      <c r="F844" s="382">
        <f t="shared" si="667"/>
        <v>0</v>
      </c>
      <c r="G844" s="383">
        <f t="shared" ref="G844" si="668">SUM(G845:G846)</f>
        <v>2000</v>
      </c>
      <c r="H844" s="540">
        <f t="shared" ref="H844:J844" si="669">SUM(H845:H846)</f>
        <v>0</v>
      </c>
      <c r="I844" s="568">
        <f t="shared" si="669"/>
        <v>0</v>
      </c>
      <c r="J844" s="568">
        <f t="shared" si="669"/>
        <v>0</v>
      </c>
      <c r="K844" s="137">
        <f t="shared" si="660"/>
        <v>4000</v>
      </c>
      <c r="L844" s="137">
        <f t="shared" si="642"/>
        <v>2000</v>
      </c>
      <c r="M844" s="132"/>
      <c r="N844" s="132"/>
      <c r="O844" s="132"/>
      <c r="P844" s="132"/>
      <c r="Q844" s="139">
        <f t="shared" si="640"/>
        <v>0</v>
      </c>
    </row>
    <row r="845" spans="1:17" ht="15" customHeight="1">
      <c r="A845" s="392"/>
      <c r="B845" s="393"/>
      <c r="C845" s="394" t="s">
        <v>732</v>
      </c>
      <c r="D845" s="395"/>
      <c r="E845" s="396">
        <v>2000</v>
      </c>
      <c r="F845" s="396"/>
      <c r="G845" s="397">
        <f>SUM(F845,E845)</f>
        <v>2000</v>
      </c>
      <c r="H845" s="399">
        <f>ROUND(F845*H$7,)</f>
        <v>0</v>
      </c>
      <c r="I845" s="449">
        <f>ROUND(F845*I$7,)</f>
        <v>0</v>
      </c>
      <c r="J845" s="449">
        <f>ROUND(F845*J$7,)</f>
        <v>0</v>
      </c>
      <c r="K845" s="137">
        <f t="shared" si="660"/>
        <v>4000</v>
      </c>
      <c r="L845" s="137">
        <f t="shared" si="642"/>
        <v>2000</v>
      </c>
      <c r="M845" s="450">
        <v>1.1000000000000001</v>
      </c>
      <c r="N845" s="132"/>
      <c r="O845" s="132"/>
      <c r="P845" s="132"/>
      <c r="Q845" s="139">
        <f t="shared" si="640"/>
        <v>0</v>
      </c>
    </row>
    <row r="846" spans="1:17" ht="12.75" hidden="1" customHeight="1">
      <c r="A846" s="392"/>
      <c r="B846" s="393"/>
      <c r="C846" s="394" t="s">
        <v>733</v>
      </c>
      <c r="D846" s="395"/>
      <c r="E846" s="555"/>
      <c r="F846" s="555"/>
      <c r="G846" s="397">
        <f>SUM(F846,E846)</f>
        <v>0</v>
      </c>
      <c r="H846" s="543">
        <f>ROUND(F846*H$7,)</f>
        <v>0</v>
      </c>
      <c r="I846" s="570">
        <f>ROUND(H846*I$7,)</f>
        <v>0</v>
      </c>
      <c r="J846" s="570">
        <f>ROUND(I846*J$7,)</f>
        <v>0</v>
      </c>
      <c r="K846" s="137">
        <f t="shared" si="660"/>
        <v>0</v>
      </c>
      <c r="L846" s="137">
        <f t="shared" si="642"/>
        <v>0</v>
      </c>
      <c r="M846" s="132"/>
      <c r="N846" s="132"/>
      <c r="O846" s="132"/>
      <c r="P846" s="132"/>
      <c r="Q846" s="139">
        <f t="shared" si="640"/>
        <v>0</v>
      </c>
    </row>
    <row r="847" spans="1:17" ht="12.75" customHeight="1">
      <c r="A847" s="378" t="s">
        <v>849</v>
      </c>
      <c r="B847" s="379"/>
      <c r="C847" s="380"/>
      <c r="D847" s="381">
        <v>67020302</v>
      </c>
      <c r="E847" s="382">
        <f t="shared" ref="E847:F847" si="670">SUM(E848:E849)</f>
        <v>3700</v>
      </c>
      <c r="F847" s="382">
        <f t="shared" si="670"/>
        <v>0</v>
      </c>
      <c r="G847" s="383">
        <f t="shared" ref="G847" si="671">SUM(G848:G849)</f>
        <v>3700</v>
      </c>
      <c r="H847" s="540">
        <f t="shared" ref="H847:J847" si="672">SUM(H848:H849)</f>
        <v>0</v>
      </c>
      <c r="I847" s="568">
        <f t="shared" si="672"/>
        <v>0</v>
      </c>
      <c r="J847" s="568">
        <f t="shared" si="672"/>
        <v>0</v>
      </c>
      <c r="K847" s="137">
        <f t="shared" si="660"/>
        <v>7400</v>
      </c>
      <c r="L847" s="137">
        <f t="shared" si="642"/>
        <v>3700</v>
      </c>
      <c r="M847" s="132"/>
      <c r="N847" s="132"/>
      <c r="O847" s="132"/>
      <c r="P847" s="132"/>
      <c r="Q847" s="139">
        <f t="shared" si="640"/>
        <v>0</v>
      </c>
    </row>
    <row r="848" spans="1:17" ht="15" customHeight="1">
      <c r="A848" s="392"/>
      <c r="B848" s="393"/>
      <c r="C848" s="394" t="s">
        <v>732</v>
      </c>
      <c r="D848" s="395"/>
      <c r="E848" s="396">
        <v>3500</v>
      </c>
      <c r="F848" s="396"/>
      <c r="G848" s="397">
        <f>SUM(F848,E848)</f>
        <v>3500</v>
      </c>
      <c r="H848" s="399">
        <f>ROUND(F848*H$7,)</f>
        <v>0</v>
      </c>
      <c r="I848" s="449">
        <f>ROUND(F848*I$7,)</f>
        <v>0</v>
      </c>
      <c r="J848" s="449">
        <f>ROUND(F848*J$7,)</f>
        <v>0</v>
      </c>
      <c r="K848" s="137">
        <f t="shared" si="660"/>
        <v>7000</v>
      </c>
      <c r="L848" s="137">
        <f t="shared" si="642"/>
        <v>3500</v>
      </c>
      <c r="M848" s="450">
        <v>1.1000000000000001</v>
      </c>
      <c r="N848" s="132"/>
      <c r="O848" s="132"/>
      <c r="P848" s="132"/>
      <c r="Q848" s="139">
        <f t="shared" si="640"/>
        <v>0</v>
      </c>
    </row>
    <row r="849" spans="1:17" ht="12.75" customHeight="1">
      <c r="A849" s="392"/>
      <c r="B849" s="393"/>
      <c r="C849" s="394" t="s">
        <v>733</v>
      </c>
      <c r="D849" s="395"/>
      <c r="E849" s="396">
        <v>200</v>
      </c>
      <c r="F849" s="396"/>
      <c r="G849" s="397">
        <f>SUM(F849,E849)</f>
        <v>200</v>
      </c>
      <c r="H849" s="399">
        <f>ROUND(F849*H$7,)</f>
        <v>0</v>
      </c>
      <c r="I849" s="449">
        <f>ROUND(H849*I$7,)</f>
        <v>0</v>
      </c>
      <c r="J849" s="449">
        <f>ROUND(I849*J$7,)</f>
        <v>0</v>
      </c>
      <c r="K849" s="137">
        <f t="shared" si="660"/>
        <v>400</v>
      </c>
      <c r="L849" s="137" t="str">
        <f>C849</f>
        <v>Secţiunea de dezvoltare</v>
      </c>
      <c r="M849" s="132"/>
      <c r="N849" s="132"/>
      <c r="O849" s="132"/>
      <c r="P849" s="132"/>
      <c r="Q849" s="139">
        <f t="shared" si="640"/>
        <v>0</v>
      </c>
    </row>
    <row r="850" spans="1:17" ht="24.75" customHeight="1">
      <c r="A850" s="968" t="s">
        <v>850</v>
      </c>
      <c r="B850" s="948"/>
      <c r="C850" s="948"/>
      <c r="D850" s="381">
        <v>67020308</v>
      </c>
      <c r="E850" s="382">
        <f t="shared" ref="E850:F850" si="673">SUM(E851:E852)</f>
        <v>1800</v>
      </c>
      <c r="F850" s="382">
        <f t="shared" si="673"/>
        <v>0</v>
      </c>
      <c r="G850" s="383">
        <f t="shared" ref="G850" si="674">SUM(G851:G852)</f>
        <v>1800</v>
      </c>
      <c r="H850" s="540">
        <f t="shared" ref="H850:J850" si="675">SUM(H851:H852)</f>
        <v>0</v>
      </c>
      <c r="I850" s="568">
        <f t="shared" si="675"/>
        <v>0</v>
      </c>
      <c r="J850" s="568">
        <f t="shared" si="675"/>
        <v>0</v>
      </c>
      <c r="K850" s="137">
        <f t="shared" si="660"/>
        <v>3600</v>
      </c>
      <c r="L850" s="137">
        <f t="shared" ref="L850:L856" si="676">IF(G850&lt;&gt;0,G850,0)</f>
        <v>1800</v>
      </c>
      <c r="M850" s="132"/>
      <c r="N850" s="132"/>
      <c r="O850" s="132"/>
      <c r="P850" s="132"/>
      <c r="Q850" s="139">
        <f t="shared" si="640"/>
        <v>0</v>
      </c>
    </row>
    <row r="851" spans="1:17" ht="15" customHeight="1">
      <c r="A851" s="392"/>
      <c r="B851" s="393"/>
      <c r="C851" s="394" t="s">
        <v>732</v>
      </c>
      <c r="D851" s="395"/>
      <c r="E851" s="396">
        <v>1800</v>
      </c>
      <c r="F851" s="396"/>
      <c r="G851" s="397">
        <f>SUM(F851,E851)</f>
        <v>1800</v>
      </c>
      <c r="H851" s="399">
        <f>ROUND(F851*H$7,)</f>
        <v>0</v>
      </c>
      <c r="I851" s="449">
        <f>ROUND(F851*I$7,)</f>
        <v>0</v>
      </c>
      <c r="J851" s="449">
        <f>ROUND(F851*J$7,)</f>
        <v>0</v>
      </c>
      <c r="K851" s="137">
        <f t="shared" si="660"/>
        <v>3600</v>
      </c>
      <c r="L851" s="137">
        <f t="shared" si="676"/>
        <v>1800</v>
      </c>
      <c r="M851" s="450">
        <v>1.1000000000000001</v>
      </c>
      <c r="N851" s="132"/>
      <c r="O851" s="132"/>
      <c r="P851" s="132"/>
      <c r="Q851" s="139">
        <f t="shared" si="640"/>
        <v>0</v>
      </c>
    </row>
    <row r="852" spans="1:17" ht="12.75" hidden="1" customHeight="1">
      <c r="A852" s="392"/>
      <c r="B852" s="393"/>
      <c r="C852" s="394" t="s">
        <v>733</v>
      </c>
      <c r="D852" s="395"/>
      <c r="E852" s="396"/>
      <c r="F852" s="396"/>
      <c r="G852" s="397">
        <f>SUM(F852,E852)</f>
        <v>0</v>
      </c>
      <c r="H852" s="543">
        <f>ROUND(F852*H$7,)</f>
        <v>0</v>
      </c>
      <c r="I852" s="570">
        <f>ROUND(H852*I$7,)</f>
        <v>0</v>
      </c>
      <c r="J852" s="570">
        <f>ROUND(I852*J$7,)</f>
        <v>0</v>
      </c>
      <c r="K852" s="137">
        <f t="shared" si="660"/>
        <v>0</v>
      </c>
      <c r="L852" s="137">
        <f t="shared" si="676"/>
        <v>0</v>
      </c>
      <c r="M852" s="132"/>
      <c r="N852" s="132"/>
      <c r="O852" s="132"/>
      <c r="P852" s="132"/>
      <c r="Q852" s="139">
        <f t="shared" si="640"/>
        <v>0</v>
      </c>
    </row>
    <row r="853" spans="1:17" ht="12.75" customHeight="1">
      <c r="A853" s="378" t="s">
        <v>743</v>
      </c>
      <c r="B853" s="379"/>
      <c r="C853" s="380"/>
      <c r="D853" s="381"/>
      <c r="E853" s="382">
        <f t="shared" ref="E853:F853" si="677">SUM(E854:E855)</f>
        <v>1800</v>
      </c>
      <c r="F853" s="382">
        <f t="shared" si="677"/>
        <v>0</v>
      </c>
      <c r="G853" s="383">
        <f t="shared" ref="G853" si="678">SUM(G854:G855)</f>
        <v>1800</v>
      </c>
      <c r="H853" s="540">
        <f t="shared" ref="H853:J853" si="679">SUM(H854:H855)</f>
        <v>0</v>
      </c>
      <c r="I853" s="568">
        <f t="shared" si="679"/>
        <v>0</v>
      </c>
      <c r="J853" s="568">
        <f t="shared" si="679"/>
        <v>0</v>
      </c>
      <c r="K853" s="137">
        <f t="shared" si="660"/>
        <v>3600</v>
      </c>
      <c r="L853" s="137">
        <f t="shared" si="676"/>
        <v>1800</v>
      </c>
      <c r="M853" s="132"/>
      <c r="N853" s="132"/>
      <c r="O853" s="132"/>
      <c r="P853" s="132"/>
      <c r="Q853" s="139">
        <f t="shared" si="640"/>
        <v>0</v>
      </c>
    </row>
    <row r="854" spans="1:17" ht="26.25" customHeight="1">
      <c r="A854" s="969" t="s">
        <v>851</v>
      </c>
      <c r="B854" s="948"/>
      <c r="C854" s="957"/>
      <c r="D854" s="395"/>
      <c r="E854" s="408">
        <f>E851+E852-E855</f>
        <v>1300</v>
      </c>
      <c r="F854" s="408">
        <f>F851+F852-F855</f>
        <v>0</v>
      </c>
      <c r="G854" s="397">
        <f>SUM(F854,E854)</f>
        <v>1300</v>
      </c>
      <c r="H854" s="399">
        <f>ROUND(F854*H$7,)</f>
        <v>0</v>
      </c>
      <c r="I854" s="449">
        <f>ROUND(F854*I$7,)</f>
        <v>0</v>
      </c>
      <c r="J854" s="449">
        <f>ROUND(F854*J$7,)</f>
        <v>0</v>
      </c>
      <c r="K854" s="137">
        <f t="shared" si="660"/>
        <v>2600</v>
      </c>
      <c r="L854" s="137">
        <f t="shared" si="676"/>
        <v>1300</v>
      </c>
      <c r="M854" s="450"/>
      <c r="N854" s="134">
        <f>G853-G850</f>
        <v>0</v>
      </c>
      <c r="O854" s="132"/>
      <c r="P854" s="132"/>
      <c r="Q854" s="139">
        <f t="shared" si="640"/>
        <v>0</v>
      </c>
    </row>
    <row r="855" spans="1:17" ht="12.75" customHeight="1">
      <c r="A855" s="392" t="s">
        <v>852</v>
      </c>
      <c r="B855" s="393"/>
      <c r="C855" s="394"/>
      <c r="D855" s="395"/>
      <c r="E855" s="408">
        <v>500</v>
      </c>
      <c r="F855" s="408"/>
      <c r="G855" s="397">
        <f>SUM(F855,E855)</f>
        <v>500</v>
      </c>
      <c r="H855" s="399">
        <f>ROUND(F855*H$7,)</f>
        <v>0</v>
      </c>
      <c r="I855" s="449">
        <f>ROUND(F855*I$7,)</f>
        <v>0</v>
      </c>
      <c r="J855" s="449">
        <f>ROUND(F855*J$7,)</f>
        <v>0</v>
      </c>
      <c r="K855" s="137">
        <f t="shared" si="660"/>
        <v>1000</v>
      </c>
      <c r="L855" s="137">
        <f t="shared" si="676"/>
        <v>500</v>
      </c>
      <c r="M855" s="132"/>
      <c r="N855" s="132"/>
      <c r="O855" s="132"/>
      <c r="P855" s="132"/>
      <c r="Q855" s="139">
        <f t="shared" si="640"/>
        <v>0</v>
      </c>
    </row>
    <row r="856" spans="1:17" ht="12.75" customHeight="1">
      <c r="A856" s="378" t="s">
        <v>853</v>
      </c>
      <c r="B856" s="379"/>
      <c r="C856" s="380"/>
      <c r="D856" s="381"/>
      <c r="E856" s="382">
        <f t="shared" ref="E856:F856" si="680">SUM(E857:E858)</f>
        <v>8460</v>
      </c>
      <c r="F856" s="382">
        <f t="shared" si="680"/>
        <v>0</v>
      </c>
      <c r="G856" s="383">
        <f t="shared" ref="G856" si="681">SUM(G857:G858)</f>
        <v>8460</v>
      </c>
      <c r="H856" s="540">
        <f t="shared" ref="H856:J856" si="682">SUM(H857:H858)</f>
        <v>0</v>
      </c>
      <c r="I856" s="568">
        <f t="shared" si="682"/>
        <v>0</v>
      </c>
      <c r="J856" s="568">
        <f t="shared" si="682"/>
        <v>0</v>
      </c>
      <c r="K856" s="137">
        <f t="shared" si="660"/>
        <v>16920</v>
      </c>
      <c r="L856" s="137">
        <f t="shared" si="676"/>
        <v>8460</v>
      </c>
      <c r="M856" s="132"/>
      <c r="N856" s="132"/>
      <c r="O856" s="132"/>
      <c r="P856" s="132"/>
      <c r="Q856" s="139">
        <f t="shared" si="640"/>
        <v>0</v>
      </c>
    </row>
    <row r="857" spans="1:17" ht="12.75" hidden="1" customHeight="1">
      <c r="A857" s="385" t="s">
        <v>790</v>
      </c>
      <c r="B857" s="386"/>
      <c r="C857" s="387"/>
      <c r="D857" s="403"/>
      <c r="E857" s="474">
        <f>E859</f>
        <v>8460</v>
      </c>
      <c r="F857" s="474">
        <f>F859</f>
        <v>0</v>
      </c>
      <c r="G857" s="390">
        <f>SUM(F857,E857)</f>
        <v>8460</v>
      </c>
      <c r="H857" s="580">
        <f>ROUND(F857*H$7,)</f>
        <v>0</v>
      </c>
      <c r="I857" s="616">
        <f>ROUND(F857*I$7,)</f>
        <v>0</v>
      </c>
      <c r="J857" s="616">
        <f>ROUND(F857*J$7,)</f>
        <v>0</v>
      </c>
      <c r="K857" s="145">
        <f t="shared" si="660"/>
        <v>16920</v>
      </c>
      <c r="L857" s="145">
        <v>0</v>
      </c>
      <c r="M857" s="5"/>
      <c r="N857" s="5"/>
      <c r="O857" s="5"/>
      <c r="P857" s="5"/>
      <c r="Q857" s="139">
        <f t="shared" si="640"/>
        <v>0</v>
      </c>
    </row>
    <row r="858" spans="1:17" ht="12.75" hidden="1" customHeight="1">
      <c r="A858" s="385" t="s">
        <v>794</v>
      </c>
      <c r="B858" s="386"/>
      <c r="C858" s="387"/>
      <c r="D858" s="403"/>
      <c r="E858" s="389"/>
      <c r="F858" s="389"/>
      <c r="G858" s="390">
        <f>SUM(F858,E858)</f>
        <v>0</v>
      </c>
      <c r="H858" s="398">
        <f>ROUND(F858*H$7,)</f>
        <v>0</v>
      </c>
      <c r="I858" s="448">
        <f>ROUND(F858*I$7,)</f>
        <v>0</v>
      </c>
      <c r="J858" s="448">
        <f>ROUND(F858*J$7,)</f>
        <v>0</v>
      </c>
      <c r="K858" s="145">
        <f t="shared" si="660"/>
        <v>0</v>
      </c>
      <c r="L858" s="145">
        <f>IF(G858&lt;&gt;0,G858,0)</f>
        <v>0</v>
      </c>
      <c r="M858" s="5"/>
      <c r="N858" s="5"/>
      <c r="O858" s="5"/>
      <c r="P858" s="5"/>
      <c r="Q858" s="139">
        <f t="shared" ref="Q858:Q924" si="683">E858-G858</f>
        <v>0</v>
      </c>
    </row>
    <row r="859" spans="1:17" ht="12.75" hidden="1" customHeight="1">
      <c r="A859" s="561"/>
      <c r="B859" s="625" t="s">
        <v>731</v>
      </c>
      <c r="C859" s="563"/>
      <c r="D859" s="626"/>
      <c r="E859" s="576">
        <f t="shared" ref="E859:F859" si="684">SUM(E860:E861)</f>
        <v>8460</v>
      </c>
      <c r="F859" s="576">
        <f t="shared" si="684"/>
        <v>0</v>
      </c>
      <c r="G859" s="581">
        <f t="shared" ref="G859" si="685">SUM(G860:G861)</f>
        <v>8460</v>
      </c>
      <c r="H859" s="540">
        <f t="shared" ref="H859:J859" si="686">SUM(H860:H861)</f>
        <v>0</v>
      </c>
      <c r="I859" s="568">
        <f t="shared" si="686"/>
        <v>0</v>
      </c>
      <c r="J859" s="568">
        <f t="shared" si="686"/>
        <v>0</v>
      </c>
      <c r="K859" s="145">
        <f t="shared" si="660"/>
        <v>16920</v>
      </c>
      <c r="L859" s="145">
        <v>0</v>
      </c>
      <c r="M859" s="5"/>
      <c r="N859" s="5"/>
      <c r="O859" s="5"/>
      <c r="P859" s="5"/>
      <c r="Q859" s="139">
        <f t="shared" si="683"/>
        <v>0</v>
      </c>
    </row>
    <row r="860" spans="1:17" ht="15" customHeight="1">
      <c r="A860" s="392"/>
      <c r="B860" s="393"/>
      <c r="C860" s="394" t="s">
        <v>732</v>
      </c>
      <c r="D860" s="395"/>
      <c r="E860" s="396">
        <v>8060</v>
      </c>
      <c r="F860" s="396"/>
      <c r="G860" s="397">
        <f>SUM(F860,E860)</f>
        <v>8060</v>
      </c>
      <c r="H860" s="399">
        <f>ROUND(F860*H$7,)</f>
        <v>0</v>
      </c>
      <c r="I860" s="449">
        <f>ROUND(F860*I$7,)</f>
        <v>0</v>
      </c>
      <c r="J860" s="449">
        <f>ROUND(F860*J$7,)</f>
        <v>0</v>
      </c>
      <c r="K860" s="137">
        <f t="shared" si="660"/>
        <v>16120</v>
      </c>
      <c r="L860" s="137">
        <f t="shared" ref="L860:L878" si="687">IF(G860&lt;&gt;0,G860,0)</f>
        <v>8060</v>
      </c>
      <c r="M860" s="450">
        <v>1.1000000000000001</v>
      </c>
      <c r="N860" s="569">
        <v>5440</v>
      </c>
      <c r="O860" s="132"/>
      <c r="P860" s="132"/>
      <c r="Q860" s="139">
        <f t="shared" si="683"/>
        <v>0</v>
      </c>
    </row>
    <row r="861" spans="1:17" ht="12.75" customHeight="1">
      <c r="A861" s="392"/>
      <c r="B861" s="393"/>
      <c r="C861" s="394" t="s">
        <v>733</v>
      </c>
      <c r="D861" s="395"/>
      <c r="E861" s="555">
        <v>400</v>
      </c>
      <c r="F861" s="555"/>
      <c r="G861" s="397">
        <f>SUM(F861,E861)</f>
        <v>400</v>
      </c>
      <c r="H861" s="543">
        <f>ROUND(F861*H$7,)</f>
        <v>0</v>
      </c>
      <c r="I861" s="570">
        <f>ROUND(H861*I$7,)</f>
        <v>0</v>
      </c>
      <c r="J861" s="570">
        <f>ROUND(I861*J$7,)</f>
        <v>0</v>
      </c>
      <c r="K861" s="137">
        <f t="shared" si="660"/>
        <v>800</v>
      </c>
      <c r="L861" s="137">
        <f t="shared" si="687"/>
        <v>400</v>
      </c>
      <c r="M861" s="132"/>
      <c r="N861" s="132"/>
      <c r="O861" s="132"/>
      <c r="P861" s="132"/>
      <c r="Q861" s="139">
        <f t="shared" si="683"/>
        <v>0</v>
      </c>
    </row>
    <row r="862" spans="1:17" ht="12.75" hidden="1" customHeight="1">
      <c r="A862" s="425" t="s">
        <v>854</v>
      </c>
      <c r="B862" s="426"/>
      <c r="C862" s="427"/>
      <c r="D862" s="428"/>
      <c r="E862" s="483">
        <f t="shared" ref="E862:F862" si="688">SUM(E863)</f>
        <v>0</v>
      </c>
      <c r="F862" s="483">
        <f t="shared" si="688"/>
        <v>0</v>
      </c>
      <c r="G862" s="484">
        <f t="shared" ref="G862:J862" si="689">SUM(G863)</f>
        <v>0</v>
      </c>
      <c r="H862" s="627">
        <f t="shared" si="689"/>
        <v>0</v>
      </c>
      <c r="I862" s="648">
        <f t="shared" si="689"/>
        <v>0</v>
      </c>
      <c r="J862" s="648">
        <f t="shared" si="689"/>
        <v>0</v>
      </c>
      <c r="K862" s="145">
        <f t="shared" si="660"/>
        <v>0</v>
      </c>
      <c r="L862" s="145">
        <f t="shared" si="687"/>
        <v>0</v>
      </c>
      <c r="M862" s="5"/>
      <c r="N862" s="5"/>
      <c r="O862" s="5"/>
      <c r="P862" s="5"/>
      <c r="Q862" s="139">
        <f t="shared" si="683"/>
        <v>0</v>
      </c>
    </row>
    <row r="863" spans="1:17" ht="12.75" hidden="1" customHeight="1">
      <c r="A863" s="628" t="s">
        <v>855</v>
      </c>
      <c r="B863" s="629"/>
      <c r="C863" s="630"/>
      <c r="D863" s="631"/>
      <c r="E863" s="576">
        <f t="shared" ref="E863:F863" si="690">SUM(E864:E865)</f>
        <v>0</v>
      </c>
      <c r="F863" s="576">
        <f t="shared" si="690"/>
        <v>0</v>
      </c>
      <c r="G863" s="581">
        <f t="shared" ref="G863:J863" si="691">SUM(G864:G865)</f>
        <v>0</v>
      </c>
      <c r="H863" s="632">
        <f t="shared" si="691"/>
        <v>0</v>
      </c>
      <c r="I863" s="649">
        <f t="shared" si="691"/>
        <v>0</v>
      </c>
      <c r="J863" s="649">
        <f t="shared" si="691"/>
        <v>0</v>
      </c>
      <c r="K863" s="145">
        <f t="shared" si="660"/>
        <v>0</v>
      </c>
      <c r="L863" s="145">
        <f t="shared" si="687"/>
        <v>0</v>
      </c>
      <c r="M863" s="5"/>
      <c r="N863" s="5"/>
      <c r="O863" s="5"/>
      <c r="P863" s="5"/>
      <c r="Q863" s="139">
        <f t="shared" si="683"/>
        <v>0</v>
      </c>
    </row>
    <row r="864" spans="1:17" ht="12.75" hidden="1" customHeight="1">
      <c r="A864" s="385"/>
      <c r="B864" s="386"/>
      <c r="C864" s="387" t="s">
        <v>732</v>
      </c>
      <c r="D864" s="388"/>
      <c r="E864" s="406"/>
      <c r="F864" s="406"/>
      <c r="G864" s="390">
        <f>SUM(F864,E864)</f>
        <v>0</v>
      </c>
      <c r="H864" s="399">
        <f>ROUND(F864*H$7,)</f>
        <v>0</v>
      </c>
      <c r="I864" s="449">
        <f>ROUND(F864*I$7,)</f>
        <v>0</v>
      </c>
      <c r="J864" s="449">
        <f>ROUND(F864*J$7,)</f>
        <v>0</v>
      </c>
      <c r="K864" s="145">
        <f t="shared" si="660"/>
        <v>0</v>
      </c>
      <c r="L864" s="145">
        <f t="shared" si="687"/>
        <v>0</v>
      </c>
      <c r="M864" s="5"/>
      <c r="N864" s="5"/>
      <c r="O864" s="5"/>
      <c r="P864" s="5"/>
      <c r="Q864" s="139">
        <f t="shared" si="683"/>
        <v>0</v>
      </c>
    </row>
    <row r="865" spans="1:17" ht="12.75" hidden="1" customHeight="1">
      <c r="A865" s="385"/>
      <c r="B865" s="386"/>
      <c r="C865" s="387" t="s">
        <v>733</v>
      </c>
      <c r="D865" s="388"/>
      <c r="E865" s="389"/>
      <c r="F865" s="389"/>
      <c r="G865" s="390">
        <f>SUM(F865,E865)</f>
        <v>0</v>
      </c>
      <c r="H865" s="543">
        <f>ROUND(F865*H$7,)</f>
        <v>0</v>
      </c>
      <c r="I865" s="570">
        <f>ROUND(H865*I$7,)</f>
        <v>0</v>
      </c>
      <c r="J865" s="570">
        <f>ROUND(I865*J$7,)</f>
        <v>0</v>
      </c>
      <c r="K865" s="145">
        <f t="shared" si="660"/>
        <v>0</v>
      </c>
      <c r="L865" s="145">
        <f t="shared" si="687"/>
        <v>0</v>
      </c>
      <c r="M865" s="5"/>
      <c r="N865" s="5"/>
      <c r="O865" s="5"/>
      <c r="P865" s="5"/>
      <c r="Q865" s="139">
        <f t="shared" si="683"/>
        <v>0</v>
      </c>
    </row>
    <row r="866" spans="1:17" ht="12.75" hidden="1" customHeight="1">
      <c r="A866" s="425" t="s">
        <v>856</v>
      </c>
      <c r="B866" s="426"/>
      <c r="C866" s="427"/>
      <c r="D866" s="428"/>
      <c r="E866" s="483">
        <f>SUM(E867,E870)</f>
        <v>0</v>
      </c>
      <c r="F866" s="483">
        <f>SUM(F867,F870)</f>
        <v>0</v>
      </c>
      <c r="G866" s="484">
        <f>SUM(G867,G870)</f>
        <v>0</v>
      </c>
      <c r="H866" s="377">
        <f>ROUND(F866*H$7,)</f>
        <v>0</v>
      </c>
      <c r="I866" s="445">
        <f>ROUND(H866*I$7,)</f>
        <v>0</v>
      </c>
      <c r="J866" s="445">
        <f>ROUND(I866*J$7,)</f>
        <v>0</v>
      </c>
      <c r="K866" s="145">
        <f t="shared" si="660"/>
        <v>0</v>
      </c>
      <c r="L866" s="145">
        <f t="shared" si="687"/>
        <v>0</v>
      </c>
      <c r="M866" s="5"/>
      <c r="N866" s="5"/>
      <c r="O866" s="5"/>
      <c r="P866" s="5"/>
      <c r="Q866" s="139">
        <f t="shared" si="683"/>
        <v>0</v>
      </c>
    </row>
    <row r="867" spans="1:17" ht="12.75" hidden="1" customHeight="1">
      <c r="A867" s="561" t="s">
        <v>857</v>
      </c>
      <c r="B867" s="562"/>
      <c r="C867" s="563"/>
      <c r="D867" s="564"/>
      <c r="E867" s="576">
        <f t="shared" ref="E867:F867" si="692">SUM(E868:E869)</f>
        <v>0</v>
      </c>
      <c r="F867" s="576">
        <f t="shared" si="692"/>
        <v>0</v>
      </c>
      <c r="G867" s="581">
        <f t="shared" ref="G867:J867" si="693">SUM(G868:G869)</f>
        <v>0</v>
      </c>
      <c r="H867" s="582">
        <f t="shared" si="693"/>
        <v>0</v>
      </c>
      <c r="I867" s="617">
        <f t="shared" si="693"/>
        <v>0</v>
      </c>
      <c r="J867" s="617">
        <f t="shared" si="693"/>
        <v>0</v>
      </c>
      <c r="K867" s="145">
        <f t="shared" si="660"/>
        <v>0</v>
      </c>
      <c r="L867" s="145">
        <f t="shared" si="687"/>
        <v>0</v>
      </c>
      <c r="M867" s="5"/>
      <c r="N867" s="5"/>
      <c r="O867" s="5"/>
      <c r="P867" s="5"/>
      <c r="Q867" s="139">
        <f t="shared" si="683"/>
        <v>0</v>
      </c>
    </row>
    <row r="868" spans="1:17" ht="12.75" hidden="1" customHeight="1">
      <c r="A868" s="385"/>
      <c r="B868" s="386"/>
      <c r="C868" s="387" t="s">
        <v>732</v>
      </c>
      <c r="D868" s="388"/>
      <c r="E868" s="406"/>
      <c r="F868" s="406"/>
      <c r="G868" s="390">
        <f>SUM(F868,E868)</f>
        <v>0</v>
      </c>
      <c r="H868" s="399">
        <f>ROUND(F868*H$7,)</f>
        <v>0</v>
      </c>
      <c r="I868" s="449">
        <f t="shared" ref="I868:J870" si="694">ROUND(H868*I$7,)</f>
        <v>0</v>
      </c>
      <c r="J868" s="449">
        <f t="shared" si="694"/>
        <v>0</v>
      </c>
      <c r="K868" s="145">
        <f t="shared" si="660"/>
        <v>0</v>
      </c>
      <c r="L868" s="145">
        <f t="shared" si="687"/>
        <v>0</v>
      </c>
      <c r="M868" s="5"/>
      <c r="N868" s="5"/>
      <c r="O868" s="5"/>
      <c r="P868" s="5"/>
      <c r="Q868" s="139">
        <f t="shared" si="683"/>
        <v>0</v>
      </c>
    </row>
    <row r="869" spans="1:17" ht="12.75" hidden="1" customHeight="1">
      <c r="A869" s="385"/>
      <c r="B869" s="386"/>
      <c r="C869" s="387" t="s">
        <v>733</v>
      </c>
      <c r="D869" s="388"/>
      <c r="E869" s="389"/>
      <c r="F869" s="389"/>
      <c r="G869" s="390">
        <f>SUM(F869,E869)</f>
        <v>0</v>
      </c>
      <c r="H869" s="543">
        <f>ROUND(F869*H$7,)</f>
        <v>0</v>
      </c>
      <c r="I869" s="570">
        <f t="shared" si="694"/>
        <v>0</v>
      </c>
      <c r="J869" s="570">
        <f t="shared" si="694"/>
        <v>0</v>
      </c>
      <c r="K869" s="145">
        <f t="shared" si="660"/>
        <v>0</v>
      </c>
      <c r="L869" s="145">
        <f t="shared" si="687"/>
        <v>0</v>
      </c>
      <c r="M869" s="5"/>
      <c r="N869" s="5"/>
      <c r="O869" s="5"/>
      <c r="P869" s="5"/>
      <c r="Q869" s="139">
        <f t="shared" si="683"/>
        <v>0</v>
      </c>
    </row>
    <row r="870" spans="1:17" ht="12.75" hidden="1" customHeight="1">
      <c r="A870" s="561" t="s">
        <v>858</v>
      </c>
      <c r="B870" s="562"/>
      <c r="C870" s="563"/>
      <c r="D870" s="564"/>
      <c r="E870" s="576">
        <f>SUM(E871:E872)</f>
        <v>0</v>
      </c>
      <c r="F870" s="576">
        <f>SUM(F871:F872)</f>
        <v>0</v>
      </c>
      <c r="G870" s="581">
        <f>SUM(G871:G872)</f>
        <v>0</v>
      </c>
      <c r="H870" s="384">
        <f>ROUND(F870*H$7,)</f>
        <v>0</v>
      </c>
      <c r="I870" s="446">
        <f t="shared" si="694"/>
        <v>0</v>
      </c>
      <c r="J870" s="446">
        <f t="shared" si="694"/>
        <v>0</v>
      </c>
      <c r="K870" s="145">
        <f t="shared" si="660"/>
        <v>0</v>
      </c>
      <c r="L870" s="145">
        <f t="shared" si="687"/>
        <v>0</v>
      </c>
      <c r="M870" s="5"/>
      <c r="N870" s="5"/>
      <c r="O870" s="5"/>
      <c r="P870" s="5"/>
      <c r="Q870" s="139">
        <f t="shared" si="683"/>
        <v>0</v>
      </c>
    </row>
    <row r="871" spans="1:17" ht="12.75" hidden="1" customHeight="1">
      <c r="A871" s="385"/>
      <c r="B871" s="386"/>
      <c r="C871" s="387" t="s">
        <v>732</v>
      </c>
      <c r="D871" s="388"/>
      <c r="E871" s="406"/>
      <c r="F871" s="406"/>
      <c r="G871" s="390">
        <f>SUM(F871,E871)</f>
        <v>0</v>
      </c>
      <c r="H871" s="407">
        <f>ROUND(F871*H$7,)</f>
        <v>0</v>
      </c>
      <c r="I871" s="452">
        <f>ROUND(F871*I$7,)</f>
        <v>0</v>
      </c>
      <c r="J871" s="452">
        <f>ROUND(F871*J$7,)</f>
        <v>0</v>
      </c>
      <c r="K871" s="145">
        <f t="shared" si="660"/>
        <v>0</v>
      </c>
      <c r="L871" s="145">
        <f t="shared" si="687"/>
        <v>0</v>
      </c>
      <c r="M871" s="5"/>
      <c r="N871" s="5"/>
      <c r="O871" s="5"/>
      <c r="P871" s="5"/>
      <c r="Q871" s="139">
        <f t="shared" si="683"/>
        <v>0</v>
      </c>
    </row>
    <row r="872" spans="1:17" ht="12.75" hidden="1" customHeight="1">
      <c r="A872" s="385"/>
      <c r="B872" s="386"/>
      <c r="C872" s="387" t="s">
        <v>733</v>
      </c>
      <c r="D872" s="388"/>
      <c r="E872" s="389"/>
      <c r="F872" s="389"/>
      <c r="G872" s="390">
        <f>SUM(F872,E872)</f>
        <v>0</v>
      </c>
      <c r="H872" s="543">
        <f>ROUND(F872*H$7,)</f>
        <v>0</v>
      </c>
      <c r="I872" s="570">
        <f>ROUND(H872*I$7,)</f>
        <v>0</v>
      </c>
      <c r="J872" s="570">
        <f>ROUND(I872*J$7,)</f>
        <v>0</v>
      </c>
      <c r="K872" s="145">
        <f t="shared" si="660"/>
        <v>0</v>
      </c>
      <c r="L872" s="145">
        <f t="shared" si="687"/>
        <v>0</v>
      </c>
      <c r="M872" s="5"/>
      <c r="N872" s="5"/>
      <c r="O872" s="5"/>
      <c r="P872" s="5"/>
      <c r="Q872" s="139">
        <f t="shared" si="683"/>
        <v>0</v>
      </c>
    </row>
    <row r="873" spans="1:17" ht="12.75" customHeight="1">
      <c r="A873" s="371" t="s">
        <v>859</v>
      </c>
      <c r="B873" s="372"/>
      <c r="C873" s="373"/>
      <c r="D873" s="374" t="s">
        <v>860</v>
      </c>
      <c r="E873" s="375">
        <f t="shared" ref="E873:F873" si="695">SUM(E874)</f>
        <v>-3.8</v>
      </c>
      <c r="F873" s="375">
        <f t="shared" si="695"/>
        <v>0</v>
      </c>
      <c r="G873" s="376">
        <f t="shared" ref="G873:J873" si="696">SUM(G874)</f>
        <v>-3.8</v>
      </c>
      <c r="H873" s="478">
        <f t="shared" si="696"/>
        <v>0</v>
      </c>
      <c r="I873" s="531">
        <f t="shared" si="696"/>
        <v>0</v>
      </c>
      <c r="J873" s="531">
        <f t="shared" si="696"/>
        <v>0</v>
      </c>
      <c r="K873" s="137">
        <f t="shared" si="660"/>
        <v>-7.6</v>
      </c>
      <c r="L873" s="137">
        <f t="shared" si="687"/>
        <v>-3.8</v>
      </c>
      <c r="M873" s="132"/>
      <c r="N873" s="132"/>
      <c r="O873" s="132"/>
      <c r="P873" s="132"/>
      <c r="Q873" s="139">
        <f t="shared" si="683"/>
        <v>0</v>
      </c>
    </row>
    <row r="874" spans="1:17" ht="12.75" customHeight="1">
      <c r="A874" s="392"/>
      <c r="B874" s="393"/>
      <c r="C874" s="394" t="s">
        <v>732</v>
      </c>
      <c r="D874" s="395"/>
      <c r="E874" s="396">
        <v>-3.8</v>
      </c>
      <c r="F874" s="396"/>
      <c r="G874" s="397">
        <f>SUM(F874,E874)</f>
        <v>-3.8</v>
      </c>
      <c r="H874" s="399">
        <f>ROUND(F874*H$7,)</f>
        <v>0</v>
      </c>
      <c r="I874" s="449">
        <f>ROUND(F874*I$7,)</f>
        <v>0</v>
      </c>
      <c r="J874" s="449">
        <f>ROUND(F874*J$7,)</f>
        <v>0</v>
      </c>
      <c r="K874" s="137">
        <f t="shared" si="660"/>
        <v>-7.6</v>
      </c>
      <c r="L874" s="137">
        <f t="shared" si="687"/>
        <v>-3.8</v>
      </c>
      <c r="M874" s="132"/>
      <c r="N874" s="132"/>
      <c r="O874" s="132"/>
      <c r="P874" s="132"/>
      <c r="Q874" s="139">
        <f t="shared" si="683"/>
        <v>0</v>
      </c>
    </row>
    <row r="875" spans="1:17" ht="12.75" hidden="1" customHeight="1">
      <c r="A875" s="425" t="s">
        <v>861</v>
      </c>
      <c r="B875" s="426"/>
      <c r="C875" s="427"/>
      <c r="D875" s="428"/>
      <c r="E875" s="429">
        <f>SUM(E876)</f>
        <v>0</v>
      </c>
      <c r="F875" s="429">
        <f>SUM(F876)</f>
        <v>0</v>
      </c>
      <c r="G875" s="430">
        <f>SUM(G876)</f>
        <v>0</v>
      </c>
      <c r="H875" s="431">
        <f>ROUND(F875*H$7,)</f>
        <v>0</v>
      </c>
      <c r="I875" s="456">
        <f>ROUND(H875*I$7,)</f>
        <v>0</v>
      </c>
      <c r="J875" s="456">
        <f>ROUND(I875*J$7,)</f>
        <v>0</v>
      </c>
      <c r="K875" s="145">
        <f t="shared" si="660"/>
        <v>0</v>
      </c>
      <c r="L875" s="145">
        <f t="shared" si="687"/>
        <v>0</v>
      </c>
      <c r="M875" s="5"/>
      <c r="N875" s="5"/>
      <c r="O875" s="5"/>
      <c r="P875" s="5"/>
      <c r="Q875" s="139">
        <f t="shared" si="683"/>
        <v>0</v>
      </c>
    </row>
    <row r="876" spans="1:17" ht="12.75" hidden="1" customHeight="1">
      <c r="A876" s="385"/>
      <c r="B876" s="386"/>
      <c r="C876" s="387" t="s">
        <v>862</v>
      </c>
      <c r="D876" s="403"/>
      <c r="E876" s="389"/>
      <c r="F876" s="389"/>
      <c r="G876" s="390">
        <f>SUM(F876,E876)</f>
        <v>0</v>
      </c>
      <c r="H876" s="543">
        <f>ROUND(F876*H$7,)</f>
        <v>0</v>
      </c>
      <c r="I876" s="570">
        <f>ROUND(F876*I$7,)</f>
        <v>0</v>
      </c>
      <c r="J876" s="570">
        <f>ROUND(F876*J$7,)</f>
        <v>0</v>
      </c>
      <c r="K876" s="145">
        <f t="shared" si="660"/>
        <v>0</v>
      </c>
      <c r="L876" s="145">
        <f t="shared" si="687"/>
        <v>0</v>
      </c>
      <c r="M876" s="5"/>
      <c r="N876" s="5"/>
      <c r="O876" s="5"/>
      <c r="P876" s="5"/>
      <c r="Q876" s="139">
        <f t="shared" si="683"/>
        <v>0</v>
      </c>
    </row>
    <row r="877" spans="1:17" ht="27" customHeight="1">
      <c r="A877" s="960" t="s">
        <v>863</v>
      </c>
      <c r="B877" s="948"/>
      <c r="C877" s="957"/>
      <c r="D877" s="374" t="s">
        <v>864</v>
      </c>
      <c r="E877" s="375">
        <f>SUM(E878)</f>
        <v>1000</v>
      </c>
      <c r="F877" s="375">
        <f>SUM(F878)</f>
        <v>0</v>
      </c>
      <c r="G877" s="376">
        <f>SUM(G878)</f>
        <v>1000</v>
      </c>
      <c r="H877" s="377">
        <f>ROUND(F877*H$7,)</f>
        <v>0</v>
      </c>
      <c r="I877" s="445">
        <f>ROUND(H877*I$7,)</f>
        <v>0</v>
      </c>
      <c r="J877" s="445">
        <f>ROUND(I877*J$7,)</f>
        <v>0</v>
      </c>
      <c r="K877" s="137">
        <f t="shared" si="660"/>
        <v>2000</v>
      </c>
      <c r="L877" s="137">
        <f t="shared" si="687"/>
        <v>1000</v>
      </c>
      <c r="M877" s="132"/>
      <c r="N877" s="132"/>
      <c r="O877" s="132"/>
      <c r="P877" s="132"/>
      <c r="Q877" s="139">
        <f t="shared" si="683"/>
        <v>0</v>
      </c>
    </row>
    <row r="878" spans="1:17" ht="12.75" customHeight="1">
      <c r="A878" s="392"/>
      <c r="B878" s="393"/>
      <c r="C878" s="394" t="s">
        <v>732</v>
      </c>
      <c r="D878" s="395"/>
      <c r="E878" s="396">
        <v>1000</v>
      </c>
      <c r="F878" s="396"/>
      <c r="G878" s="397">
        <f>SUM(F878,E878)</f>
        <v>1000</v>
      </c>
      <c r="H878" s="399">
        <f>ROUND(F878*H$7,)</f>
        <v>0</v>
      </c>
      <c r="I878" s="449">
        <f>ROUND(F878*I$7,)</f>
        <v>0</v>
      </c>
      <c r="J878" s="449">
        <f>ROUND(F878*J$7,)</f>
        <v>0</v>
      </c>
      <c r="K878" s="137">
        <f t="shared" si="660"/>
        <v>2000</v>
      </c>
      <c r="L878" s="137">
        <f t="shared" si="687"/>
        <v>1000</v>
      </c>
      <c r="M878" s="132"/>
      <c r="N878" s="132"/>
      <c r="O878" s="132"/>
      <c r="P878" s="132"/>
      <c r="Q878" s="139">
        <f t="shared" si="683"/>
        <v>0</v>
      </c>
    </row>
    <row r="879" spans="1:17" ht="33" customHeight="1">
      <c r="A879" s="959" t="s">
        <v>865</v>
      </c>
      <c r="B879" s="948"/>
      <c r="C879" s="957"/>
      <c r="D879" s="553"/>
      <c r="E879" s="375">
        <f t="shared" ref="E879:G879" si="697">SUM(E884:E885)</f>
        <v>6365.5</v>
      </c>
      <c r="F879" s="375">
        <f t="shared" si="697"/>
        <v>0</v>
      </c>
      <c r="G879" s="376">
        <f t="shared" si="697"/>
        <v>6365.5</v>
      </c>
      <c r="H879" s="478">
        <f>SUM(H885)</f>
        <v>0</v>
      </c>
      <c r="I879" s="531">
        <f>SUM(I885)</f>
        <v>0</v>
      </c>
      <c r="J879" s="531">
        <f>SUM(J885)</f>
        <v>0</v>
      </c>
      <c r="K879" s="137">
        <f t="shared" si="660"/>
        <v>12731</v>
      </c>
      <c r="L879" s="137">
        <f t="shared" ref="L879:L884" si="698">IF(G879&lt;&gt;0,G879,0)</f>
        <v>6365.5</v>
      </c>
      <c r="M879" s="132"/>
      <c r="N879" s="132"/>
      <c r="O879" s="132"/>
      <c r="P879" s="132"/>
      <c r="Q879" s="139">
        <f t="shared" si="683"/>
        <v>0</v>
      </c>
    </row>
    <row r="880" spans="1:17" ht="12.75" hidden="1" customHeight="1">
      <c r="A880" s="392"/>
      <c r="B880" s="393"/>
      <c r="C880" s="633" t="s">
        <v>842</v>
      </c>
      <c r="D880" s="414"/>
      <c r="E880" s="396"/>
      <c r="F880" s="396"/>
      <c r="G880" s="397">
        <f>SUM(F880,E880)</f>
        <v>0</v>
      </c>
      <c r="H880" s="399"/>
      <c r="I880" s="449"/>
      <c r="J880" s="449"/>
      <c r="K880" s="137">
        <f t="shared" si="660"/>
        <v>0</v>
      </c>
      <c r="L880" s="137">
        <f t="shared" si="698"/>
        <v>0</v>
      </c>
      <c r="M880" s="132"/>
      <c r="N880" s="132"/>
      <c r="O880" s="132"/>
      <c r="P880" s="132"/>
      <c r="Q880" s="139">
        <f t="shared" si="683"/>
        <v>0</v>
      </c>
    </row>
    <row r="881" spans="1:17" ht="12.75" customHeight="1">
      <c r="A881" s="392"/>
      <c r="B881" s="393"/>
      <c r="C881" s="588" t="s">
        <v>832</v>
      </c>
      <c r="D881" s="801"/>
      <c r="E881" s="590">
        <v>4283</v>
      </c>
      <c r="F881" s="590"/>
      <c r="G881" s="802">
        <f>SUM(F881,E881)</f>
        <v>4283</v>
      </c>
      <c r="H881" s="399"/>
      <c r="I881" s="449"/>
      <c r="J881" s="449"/>
      <c r="K881" s="137">
        <f t="shared" si="660"/>
        <v>8566</v>
      </c>
      <c r="L881" s="137">
        <f t="shared" si="698"/>
        <v>4283</v>
      </c>
      <c r="M881" s="132"/>
      <c r="N881" s="132"/>
      <c r="O881" s="132"/>
      <c r="P881" s="132"/>
      <c r="Q881" s="139">
        <f t="shared" si="683"/>
        <v>0</v>
      </c>
    </row>
    <row r="882" spans="1:17" ht="37.5" customHeight="1">
      <c r="A882" s="392"/>
      <c r="B882" s="393"/>
      <c r="C882" s="633" t="s">
        <v>833</v>
      </c>
      <c r="D882" s="414"/>
      <c r="E882" s="396">
        <v>1622.5</v>
      </c>
      <c r="F882" s="396"/>
      <c r="G882" s="397">
        <f>SUM(F882,E882)</f>
        <v>1622.5</v>
      </c>
      <c r="H882" s="399"/>
      <c r="I882" s="449"/>
      <c r="J882" s="449"/>
      <c r="K882" s="137">
        <f t="shared" ref="K882" si="699">SUM(E882:G882)</f>
        <v>3245</v>
      </c>
      <c r="L882" s="137">
        <f t="shared" si="698"/>
        <v>1622.5</v>
      </c>
      <c r="M882" s="132"/>
      <c r="N882" s="132"/>
      <c r="O882" s="132"/>
      <c r="P882" s="132"/>
      <c r="Q882" s="139">
        <f t="shared" si="683"/>
        <v>0</v>
      </c>
    </row>
    <row r="883" spans="1:17" ht="38.25" customHeight="1">
      <c r="A883" s="392"/>
      <c r="B883" s="393"/>
      <c r="C883" s="633" t="s">
        <v>834</v>
      </c>
      <c r="D883" s="414"/>
      <c r="E883" s="396">
        <v>460</v>
      </c>
      <c r="F883" s="396"/>
      <c r="G883" s="397">
        <f>SUM(F883,E883)</f>
        <v>460</v>
      </c>
      <c r="H883" s="399"/>
      <c r="I883" s="449"/>
      <c r="J883" s="449"/>
      <c r="K883" s="137">
        <f t="shared" si="660"/>
        <v>920</v>
      </c>
      <c r="L883" s="137">
        <f t="shared" si="698"/>
        <v>460</v>
      </c>
      <c r="M883" s="132"/>
      <c r="N883" s="132"/>
      <c r="O883" s="132"/>
      <c r="P883" s="132"/>
      <c r="Q883" s="139">
        <f t="shared" si="683"/>
        <v>0</v>
      </c>
    </row>
    <row r="884" spans="1:17" ht="12.75" hidden="1" customHeight="1">
      <c r="A884" s="392"/>
      <c r="B884" s="393"/>
      <c r="C884" s="394" t="s">
        <v>732</v>
      </c>
      <c r="D884" s="414"/>
      <c r="E884" s="396">
        <f>E880</f>
        <v>0</v>
      </c>
      <c r="F884" s="396">
        <f>F880</f>
        <v>0</v>
      </c>
      <c r="G884" s="397">
        <f>SUM(F884,E884)</f>
        <v>0</v>
      </c>
      <c r="H884" s="399"/>
      <c r="I884" s="449"/>
      <c r="J884" s="449"/>
      <c r="K884" s="137">
        <f t="shared" si="660"/>
        <v>0</v>
      </c>
      <c r="L884" s="137">
        <f t="shared" si="698"/>
        <v>0</v>
      </c>
      <c r="M884" s="132"/>
      <c r="N884" s="132"/>
      <c r="O884" s="132"/>
      <c r="P884" s="132"/>
      <c r="Q884" s="139">
        <f t="shared" si="683"/>
        <v>0</v>
      </c>
    </row>
    <row r="885" spans="1:17" s="2" customFormat="1" ht="12.75" customHeight="1">
      <c r="A885" s="416"/>
      <c r="B885" s="596"/>
      <c r="C885" s="417" t="s">
        <v>733</v>
      </c>
      <c r="D885" s="418"/>
      <c r="E885" s="419">
        <f t="shared" ref="E885:F885" si="700">E881+E883+E882</f>
        <v>6365.5</v>
      </c>
      <c r="F885" s="419">
        <f t="shared" si="700"/>
        <v>0</v>
      </c>
      <c r="G885" s="634">
        <f t="shared" ref="G885" si="701">G881+G883+G882</f>
        <v>6365.5</v>
      </c>
      <c r="H885" s="399"/>
      <c r="I885" s="449"/>
      <c r="J885" s="449"/>
      <c r="K885" s="650">
        <f t="shared" si="660"/>
        <v>12731</v>
      </c>
      <c r="L885" s="650">
        <f t="shared" ref="L885:L986" si="702">IF(G885&lt;&gt;0,G885,0)</f>
        <v>6365.5</v>
      </c>
      <c r="M885" s="184"/>
      <c r="N885" s="184"/>
      <c r="O885" s="184"/>
      <c r="P885" s="184"/>
      <c r="Q885" s="139">
        <f t="shared" si="683"/>
        <v>0</v>
      </c>
    </row>
    <row r="886" spans="1:17" ht="47.25" customHeight="1">
      <c r="A886" s="959" t="s">
        <v>866</v>
      </c>
      <c r="B886" s="948"/>
      <c r="C886" s="957"/>
      <c r="D886" s="553"/>
      <c r="E886" s="375">
        <f>SUM(E887:E888)</f>
        <v>1383</v>
      </c>
      <c r="F886" s="375">
        <f>SUM(F887:F888)</f>
        <v>0</v>
      </c>
      <c r="G886" s="376">
        <f>SUM(F886,E886)</f>
        <v>1383</v>
      </c>
      <c r="H886" s="478">
        <f>SUM(H894)</f>
        <v>0</v>
      </c>
      <c r="I886" s="531">
        <f>SUM(I894)</f>
        <v>0</v>
      </c>
      <c r="J886" s="531">
        <f>SUM(J894)</f>
        <v>0</v>
      </c>
      <c r="K886" s="137">
        <f t="shared" ref="K886:K888" si="703">SUM(E886:G886)</f>
        <v>2766</v>
      </c>
      <c r="L886" s="137">
        <f t="shared" si="702"/>
        <v>1383</v>
      </c>
      <c r="M886" s="132"/>
      <c r="N886" s="132"/>
      <c r="O886" s="132"/>
      <c r="P886" s="132"/>
      <c r="Q886" s="139">
        <f t="shared" ref="Q886:Q888" si="704">E886-G886</f>
        <v>0</v>
      </c>
    </row>
    <row r="887" spans="1:17" ht="12.75" hidden="1" customHeight="1">
      <c r="A887" s="392"/>
      <c r="B887" s="393"/>
      <c r="C887" s="394" t="s">
        <v>732</v>
      </c>
      <c r="D887" s="414"/>
      <c r="E887" s="396"/>
      <c r="F887" s="396"/>
      <c r="G887" s="397">
        <f>SUM(F887,E887)</f>
        <v>0</v>
      </c>
      <c r="H887" s="399"/>
      <c r="I887" s="449"/>
      <c r="J887" s="449"/>
      <c r="K887" s="137">
        <f t="shared" si="703"/>
        <v>0</v>
      </c>
      <c r="L887" s="137">
        <f t="shared" si="702"/>
        <v>0</v>
      </c>
      <c r="M887" s="132"/>
      <c r="N887" s="132"/>
      <c r="O887" s="132"/>
      <c r="P887" s="132"/>
      <c r="Q887" s="139">
        <f t="shared" si="704"/>
        <v>0</v>
      </c>
    </row>
    <row r="888" spans="1:17" s="2" customFormat="1" ht="12.75" customHeight="1">
      <c r="A888" s="416"/>
      <c r="B888" s="596"/>
      <c r="C888" s="417" t="s">
        <v>733</v>
      </c>
      <c r="D888" s="418"/>
      <c r="E888" s="419">
        <v>1383</v>
      </c>
      <c r="F888" s="419"/>
      <c r="G888" s="397">
        <f>SUM(F888,E888)</f>
        <v>1383</v>
      </c>
      <c r="H888" s="399"/>
      <c r="I888" s="449"/>
      <c r="J888" s="449"/>
      <c r="K888" s="650">
        <f t="shared" si="703"/>
        <v>2766</v>
      </c>
      <c r="L888" s="650">
        <f t="shared" ref="L888" si="705">IF(G888&lt;&gt;0,G888,0)</f>
        <v>1383</v>
      </c>
      <c r="M888" s="184"/>
      <c r="N888" s="184"/>
      <c r="O888" s="184"/>
      <c r="P888" s="184"/>
      <c r="Q888" s="139">
        <f t="shared" si="704"/>
        <v>0</v>
      </c>
    </row>
    <row r="889" spans="1:17" ht="12.75" hidden="1" customHeight="1">
      <c r="A889" s="425" t="s">
        <v>867</v>
      </c>
      <c r="B889" s="426"/>
      <c r="C889" s="427"/>
      <c r="D889" s="428"/>
      <c r="E889" s="429">
        <f>SUM(E891:E894)</f>
        <v>0</v>
      </c>
      <c r="F889" s="429">
        <f t="shared" ref="F889" si="706">SUM(F891:F894)</f>
        <v>0</v>
      </c>
      <c r="G889" s="430">
        <f t="shared" ref="G889:J889" si="707">SUM(G891:G894)</f>
        <v>0</v>
      </c>
      <c r="H889" s="635">
        <f t="shared" si="707"/>
        <v>0</v>
      </c>
      <c r="I889" s="651">
        <f t="shared" si="707"/>
        <v>0</v>
      </c>
      <c r="J889" s="651">
        <f t="shared" si="707"/>
        <v>0</v>
      </c>
      <c r="K889" s="145">
        <f t="shared" si="660"/>
        <v>0</v>
      </c>
      <c r="L889" s="145">
        <f t="shared" si="702"/>
        <v>0</v>
      </c>
      <c r="M889" s="5"/>
      <c r="N889" s="5"/>
      <c r="O889" s="5"/>
      <c r="P889" s="5"/>
      <c r="Q889" s="139">
        <f t="shared" si="683"/>
        <v>0</v>
      </c>
    </row>
    <row r="890" spans="1:17" ht="12.75" hidden="1" customHeight="1">
      <c r="A890" s="385"/>
      <c r="B890" s="386"/>
      <c r="C890" s="413" t="s">
        <v>862</v>
      </c>
      <c r="D890" s="388"/>
      <c r="E890" s="389">
        <f>SUM(E891:E894)</f>
        <v>0</v>
      </c>
      <c r="F890" s="389">
        <f>SUM(F891:F894)</f>
        <v>0</v>
      </c>
      <c r="G890" s="390">
        <f>SUM(F890,E890)</f>
        <v>0</v>
      </c>
      <c r="H890" s="543">
        <f>SUM(H891:H894)</f>
        <v>0</v>
      </c>
      <c r="I890" s="570">
        <f>SUM(I891:I894)</f>
        <v>0</v>
      </c>
      <c r="J890" s="570">
        <f>SUM(J891:J894)</f>
        <v>0</v>
      </c>
      <c r="K890" s="145">
        <f t="shared" si="660"/>
        <v>0</v>
      </c>
      <c r="L890" s="145">
        <f t="shared" si="702"/>
        <v>0</v>
      </c>
      <c r="M890" s="5"/>
      <c r="N890" s="5"/>
      <c r="O890" s="5"/>
      <c r="P890" s="5"/>
      <c r="Q890" s="139">
        <f t="shared" si="683"/>
        <v>0</v>
      </c>
    </row>
    <row r="891" spans="1:17" ht="25.5" hidden="1" customHeight="1">
      <c r="A891" s="385"/>
      <c r="B891" s="386"/>
      <c r="C891" s="387" t="s">
        <v>868</v>
      </c>
      <c r="D891" s="388"/>
      <c r="E891" s="389"/>
      <c r="F891" s="389"/>
      <c r="G891" s="390">
        <f>SUM(F891,E891)</f>
        <v>0</v>
      </c>
      <c r="H891" s="543"/>
      <c r="I891" s="570"/>
      <c r="J891" s="570"/>
      <c r="K891" s="145">
        <f t="shared" si="660"/>
        <v>0</v>
      </c>
      <c r="L891" s="145">
        <f t="shared" si="702"/>
        <v>0</v>
      </c>
      <c r="M891" s="5"/>
      <c r="N891" s="5"/>
      <c r="O891" s="5"/>
      <c r="P891" s="5"/>
      <c r="Q891" s="139">
        <f t="shared" si="683"/>
        <v>0</v>
      </c>
    </row>
    <row r="892" spans="1:17" ht="38.25" hidden="1" customHeight="1">
      <c r="A892" s="385"/>
      <c r="B892" s="386"/>
      <c r="C892" s="387" t="s">
        <v>869</v>
      </c>
      <c r="D892" s="388"/>
      <c r="E892" s="389"/>
      <c r="F892" s="389"/>
      <c r="G892" s="390">
        <f>SUM(F892,E892)</f>
        <v>0</v>
      </c>
      <c r="H892" s="543"/>
      <c r="I892" s="570"/>
      <c r="J892" s="570"/>
      <c r="K892" s="145">
        <f t="shared" si="660"/>
        <v>0</v>
      </c>
      <c r="L892" s="145">
        <f t="shared" si="702"/>
        <v>0</v>
      </c>
      <c r="M892" s="5"/>
      <c r="N892" s="5"/>
      <c r="O892" s="5"/>
      <c r="P892" s="5"/>
      <c r="Q892" s="139">
        <f t="shared" si="683"/>
        <v>0</v>
      </c>
    </row>
    <row r="893" spans="1:17" ht="25.5" hidden="1" customHeight="1">
      <c r="A893" s="385"/>
      <c r="B893" s="386"/>
      <c r="C893" s="387" t="s">
        <v>870</v>
      </c>
      <c r="D893" s="388"/>
      <c r="E893" s="389"/>
      <c r="F893" s="389"/>
      <c r="G893" s="390">
        <f>SUM(F893,E893)</f>
        <v>0</v>
      </c>
      <c r="H893" s="543"/>
      <c r="I893" s="570"/>
      <c r="J893" s="570"/>
      <c r="K893" s="145">
        <f t="shared" si="660"/>
        <v>0</v>
      </c>
      <c r="L893" s="145">
        <f t="shared" si="702"/>
        <v>0</v>
      </c>
      <c r="M893" s="5"/>
      <c r="N893" s="5"/>
      <c r="O893" s="5"/>
      <c r="P893" s="5"/>
      <c r="Q893" s="139">
        <f t="shared" si="683"/>
        <v>0</v>
      </c>
    </row>
    <row r="894" spans="1:17" ht="25.5" hidden="1" customHeight="1">
      <c r="A894" s="385"/>
      <c r="B894" s="386"/>
      <c r="C894" s="387" t="s">
        <v>871</v>
      </c>
      <c r="D894" s="388"/>
      <c r="E894" s="192"/>
      <c r="F894" s="192"/>
      <c r="G894" s="390">
        <f>SUM(F894,E894)</f>
        <v>0</v>
      </c>
      <c r="H894" s="543"/>
      <c r="I894" s="570"/>
      <c r="J894" s="570"/>
      <c r="K894" s="145">
        <f t="shared" si="660"/>
        <v>0</v>
      </c>
      <c r="L894" s="145">
        <f t="shared" si="702"/>
        <v>0</v>
      </c>
      <c r="M894" s="5"/>
      <c r="N894" s="5"/>
      <c r="O894" s="5"/>
      <c r="P894" s="5"/>
      <c r="Q894" s="139">
        <f t="shared" si="683"/>
        <v>0</v>
      </c>
    </row>
    <row r="895" spans="1:17" ht="12.75" customHeight="1">
      <c r="A895" s="371" t="s">
        <v>872</v>
      </c>
      <c r="B895" s="372"/>
      <c r="C895" s="373"/>
      <c r="D895" s="553" t="s">
        <v>873</v>
      </c>
      <c r="E895" s="375">
        <f t="shared" ref="E895:F895" si="708">SUM(E896:E897)</f>
        <v>22</v>
      </c>
      <c r="F895" s="375">
        <f t="shared" si="708"/>
        <v>0</v>
      </c>
      <c r="G895" s="376">
        <f t="shared" ref="G895" si="709">SUM(G896:G897)</f>
        <v>22</v>
      </c>
      <c r="H895" s="478">
        <f t="shared" ref="H895:J895" si="710">SUM(H896:H897)</f>
        <v>0</v>
      </c>
      <c r="I895" s="531">
        <f t="shared" si="710"/>
        <v>0</v>
      </c>
      <c r="J895" s="531">
        <f t="shared" si="710"/>
        <v>0</v>
      </c>
      <c r="K895" s="137">
        <f t="shared" si="660"/>
        <v>44</v>
      </c>
      <c r="L895" s="137">
        <f t="shared" si="702"/>
        <v>22</v>
      </c>
      <c r="M895" s="132"/>
      <c r="N895" s="132"/>
      <c r="O895" s="132"/>
      <c r="P895" s="132"/>
      <c r="Q895" s="139">
        <f t="shared" si="683"/>
        <v>0</v>
      </c>
    </row>
    <row r="896" spans="1:17" ht="12.75" hidden="1" customHeight="1">
      <c r="A896" s="385"/>
      <c r="B896" s="386"/>
      <c r="C896" s="387" t="s">
        <v>862</v>
      </c>
      <c r="D896" s="388"/>
      <c r="E896" s="415"/>
      <c r="F896" s="415"/>
      <c r="G896" s="390">
        <f>SUM(F896,E896)</f>
        <v>0</v>
      </c>
      <c r="H896" s="398"/>
      <c r="I896" s="448"/>
      <c r="J896" s="448"/>
      <c r="K896" s="145">
        <f t="shared" si="660"/>
        <v>0</v>
      </c>
      <c r="L896" s="145">
        <f t="shared" si="702"/>
        <v>0</v>
      </c>
      <c r="M896" s="5"/>
      <c r="N896" s="5"/>
      <c r="O896" s="5"/>
      <c r="P896" s="5"/>
      <c r="Q896" s="139">
        <f t="shared" si="683"/>
        <v>0</v>
      </c>
    </row>
    <row r="897" spans="1:17" ht="12.75" customHeight="1">
      <c r="A897" s="392"/>
      <c r="B897" s="393"/>
      <c r="C897" s="394" t="s">
        <v>733</v>
      </c>
      <c r="D897" s="414"/>
      <c r="E897" s="396">
        <v>22</v>
      </c>
      <c r="F897" s="396"/>
      <c r="G897" s="397">
        <f>SUM(F897,E897)</f>
        <v>22</v>
      </c>
      <c r="H897" s="398"/>
      <c r="I897" s="448"/>
      <c r="J897" s="448"/>
      <c r="K897" s="137">
        <f t="shared" si="660"/>
        <v>44</v>
      </c>
      <c r="L897" s="145" t="str">
        <f>C897</f>
        <v>Secţiunea de dezvoltare</v>
      </c>
      <c r="M897" s="132"/>
      <c r="N897" s="132"/>
      <c r="O897" s="132"/>
      <c r="P897" s="132"/>
      <c r="Q897" s="139">
        <f t="shared" si="683"/>
        <v>0</v>
      </c>
    </row>
    <row r="898" spans="1:17" ht="12.75" hidden="1" customHeight="1">
      <c r="A898" s="425" t="s">
        <v>874</v>
      </c>
      <c r="B898" s="426"/>
      <c r="C898" s="427"/>
      <c r="D898" s="428"/>
      <c r="E898" s="483">
        <f t="shared" ref="E898:F898" si="711">SUM(E899:E900)</f>
        <v>0</v>
      </c>
      <c r="F898" s="483">
        <f t="shared" si="711"/>
        <v>0</v>
      </c>
      <c r="G898" s="484">
        <f t="shared" ref="G898:J898" si="712">SUM(G899:G900)</f>
        <v>0</v>
      </c>
      <c r="H898" s="478">
        <f t="shared" si="712"/>
        <v>0</v>
      </c>
      <c r="I898" s="531">
        <f t="shared" si="712"/>
        <v>0</v>
      </c>
      <c r="J898" s="531">
        <f t="shared" si="712"/>
        <v>0</v>
      </c>
      <c r="K898" s="145">
        <f t="shared" si="660"/>
        <v>0</v>
      </c>
      <c r="L898" s="145">
        <f t="shared" si="702"/>
        <v>0</v>
      </c>
      <c r="M898" s="5"/>
      <c r="N898" s="5"/>
      <c r="O898" s="5"/>
      <c r="P898" s="5"/>
      <c r="Q898" s="139">
        <f t="shared" si="683"/>
        <v>0</v>
      </c>
    </row>
    <row r="899" spans="1:17" ht="12.75" hidden="1" customHeight="1">
      <c r="A899" s="385"/>
      <c r="B899" s="386"/>
      <c r="C899" s="387" t="s">
        <v>862</v>
      </c>
      <c r="D899" s="388"/>
      <c r="E899" s="415"/>
      <c r="F899" s="415"/>
      <c r="G899" s="390">
        <f>SUM(F899,E899)</f>
        <v>0</v>
      </c>
      <c r="H899" s="398"/>
      <c r="I899" s="448"/>
      <c r="J899" s="448"/>
      <c r="K899" s="145">
        <f t="shared" si="660"/>
        <v>0</v>
      </c>
      <c r="L899" s="145">
        <f t="shared" si="702"/>
        <v>0</v>
      </c>
      <c r="M899" s="5"/>
      <c r="N899" s="5"/>
      <c r="O899" s="5"/>
      <c r="P899" s="5"/>
      <c r="Q899" s="139">
        <f t="shared" si="683"/>
        <v>0</v>
      </c>
    </row>
    <row r="900" spans="1:17" ht="12.75" hidden="1" customHeight="1">
      <c r="A900" s="385"/>
      <c r="B900" s="386"/>
      <c r="C900" s="387" t="s">
        <v>733</v>
      </c>
      <c r="D900" s="388"/>
      <c r="E900" s="406"/>
      <c r="F900" s="406"/>
      <c r="G900" s="390">
        <f>SUM(F900,E900)</f>
        <v>0</v>
      </c>
      <c r="H900" s="398"/>
      <c r="I900" s="448"/>
      <c r="J900" s="448"/>
      <c r="K900" s="145">
        <f t="shared" si="660"/>
        <v>0</v>
      </c>
      <c r="L900" s="145">
        <f t="shared" si="702"/>
        <v>0</v>
      </c>
      <c r="M900" s="5"/>
      <c r="N900" s="5"/>
      <c r="O900" s="5"/>
      <c r="P900" s="5"/>
      <c r="Q900" s="139">
        <f t="shared" si="683"/>
        <v>0</v>
      </c>
    </row>
    <row r="901" spans="1:17" ht="12.75" customHeight="1">
      <c r="A901" s="350" t="s">
        <v>875</v>
      </c>
      <c r="B901" s="351"/>
      <c r="C901" s="352"/>
      <c r="D901" s="353"/>
      <c r="E901" s="369">
        <f>SUM(E906,E928)</f>
        <v>89515.9</v>
      </c>
      <c r="F901" s="369">
        <f>SUM(F906,F928)</f>
        <v>0</v>
      </c>
      <c r="G901" s="370">
        <f>SUM(G906,G928)</f>
        <v>89515.9</v>
      </c>
      <c r="H901" s="356">
        <f>SUM(H906,H928,H914)</f>
        <v>0</v>
      </c>
      <c r="I901" s="442">
        <f>SUM(I906,I928,I914)</f>
        <v>0</v>
      </c>
      <c r="J901" s="442">
        <f>SUM(J906,J928,J914)</f>
        <v>0</v>
      </c>
      <c r="K901" s="137">
        <f t="shared" si="660"/>
        <v>179031.8</v>
      </c>
      <c r="L901" s="137">
        <f t="shared" si="702"/>
        <v>89515.9</v>
      </c>
      <c r="M901" s="132"/>
      <c r="N901" s="132"/>
      <c r="O901" s="132"/>
      <c r="P901" s="132"/>
      <c r="Q901" s="139">
        <f t="shared" si="683"/>
        <v>0</v>
      </c>
    </row>
    <row r="902" spans="1:17" ht="12.75" customHeight="1">
      <c r="A902" s="432"/>
      <c r="B902" s="433" t="s">
        <v>756</v>
      </c>
      <c r="C902" s="434"/>
      <c r="D902" s="435"/>
      <c r="E902" s="436">
        <f t="shared" ref="E902:F902" si="713">SUM(E903:E904)</f>
        <v>89515.9</v>
      </c>
      <c r="F902" s="436">
        <f t="shared" si="713"/>
        <v>0</v>
      </c>
      <c r="G902" s="437">
        <f t="shared" ref="G902" si="714">SUM(G903:G904)</f>
        <v>89515.9</v>
      </c>
      <c r="H902" s="438">
        <f t="shared" ref="H902:J902" si="715">SUM(H903:H904)</f>
        <v>0</v>
      </c>
      <c r="I902" s="457">
        <f t="shared" si="715"/>
        <v>0</v>
      </c>
      <c r="J902" s="457">
        <f t="shared" si="715"/>
        <v>0</v>
      </c>
      <c r="K902" s="137">
        <f t="shared" si="660"/>
        <v>179031.8</v>
      </c>
      <c r="L902" s="137">
        <f t="shared" si="702"/>
        <v>89515.9</v>
      </c>
      <c r="M902" s="132"/>
      <c r="N902" s="132"/>
      <c r="O902" s="132"/>
      <c r="P902" s="132"/>
      <c r="Q902" s="139">
        <f t="shared" si="683"/>
        <v>0</v>
      </c>
    </row>
    <row r="903" spans="1:17" ht="12.75" customHeight="1">
      <c r="A903" s="636"/>
      <c r="B903" s="637" t="s">
        <v>732</v>
      </c>
      <c r="C903" s="638"/>
      <c r="D903" s="639"/>
      <c r="E903" s="640">
        <f>SUM(E908,E930,E934,E932)</f>
        <v>87526.9</v>
      </c>
      <c r="F903" s="640">
        <f>SUM(F908,F930,F934,F932)</f>
        <v>0</v>
      </c>
      <c r="G903" s="641">
        <f>SUM(G908,G930,G934,G932)</f>
        <v>87526.9</v>
      </c>
      <c r="H903" s="642">
        <f>SUM(H908,H915)</f>
        <v>0</v>
      </c>
      <c r="I903" s="652">
        <f>SUM(I908,I915)</f>
        <v>0</v>
      </c>
      <c r="J903" s="652">
        <f>SUM(J908,J915)</f>
        <v>0</v>
      </c>
      <c r="K903" s="137">
        <f t="shared" si="660"/>
        <v>175053.8</v>
      </c>
      <c r="L903" s="137">
        <f t="shared" si="702"/>
        <v>87526.9</v>
      </c>
      <c r="M903" s="132"/>
      <c r="N903" s="132"/>
      <c r="O903" s="132"/>
      <c r="P903" s="132"/>
      <c r="Q903" s="139">
        <f t="shared" si="683"/>
        <v>0</v>
      </c>
    </row>
    <row r="904" spans="1:17" ht="12.75" customHeight="1">
      <c r="A904" s="636"/>
      <c r="B904" s="637" t="s">
        <v>733</v>
      </c>
      <c r="C904" s="638"/>
      <c r="D904" s="639"/>
      <c r="E904" s="640">
        <f>E909+E935</f>
        <v>1989</v>
      </c>
      <c r="F904" s="640">
        <f>F909+F935</f>
        <v>0</v>
      </c>
      <c r="G904" s="641">
        <f>G909+G935</f>
        <v>1989</v>
      </c>
      <c r="H904" s="642">
        <f>SUM(H909,H930,H916)</f>
        <v>0</v>
      </c>
      <c r="I904" s="652">
        <f>SUM(I909,I930,I916)</f>
        <v>0</v>
      </c>
      <c r="J904" s="652">
        <f>SUM(J909,J930,J916)</f>
        <v>0</v>
      </c>
      <c r="K904" s="137">
        <f t="shared" ref="K904:K986" si="716">SUM(E904:G904)</f>
        <v>3978</v>
      </c>
      <c r="L904" s="137">
        <f t="shared" si="702"/>
        <v>1989</v>
      </c>
      <c r="M904" s="132"/>
      <c r="N904" s="132"/>
      <c r="O904" s="132"/>
      <c r="P904" s="132"/>
      <c r="Q904" s="139">
        <f t="shared" si="683"/>
        <v>0</v>
      </c>
    </row>
    <row r="905" spans="1:17" ht="12.75" customHeight="1">
      <c r="A905" s="586"/>
      <c r="B905" s="643"/>
      <c r="C905" s="644"/>
      <c r="D905" s="645"/>
      <c r="E905" s="646">
        <f>SUM(E906,E916)</f>
        <v>86840</v>
      </c>
      <c r="F905" s="646">
        <f>SUM(F906,F916)</f>
        <v>0</v>
      </c>
      <c r="G905" s="647">
        <f>SUM(G906,G916)</f>
        <v>86840</v>
      </c>
      <c r="H905" s="642"/>
      <c r="I905" s="652"/>
      <c r="J905" s="652"/>
      <c r="K905" s="137">
        <f t="shared" si="716"/>
        <v>173680</v>
      </c>
      <c r="L905" s="137">
        <f t="shared" si="702"/>
        <v>86840</v>
      </c>
      <c r="M905" s="132"/>
      <c r="N905" s="132"/>
      <c r="O905" s="132"/>
      <c r="P905" s="132"/>
      <c r="Q905" s="139">
        <f t="shared" si="683"/>
        <v>0</v>
      </c>
    </row>
    <row r="906" spans="1:17" ht="25.5" customHeight="1">
      <c r="A906" s="964" t="s">
        <v>876</v>
      </c>
      <c r="B906" s="962"/>
      <c r="C906" s="965"/>
      <c r="D906" s="653"/>
      <c r="E906" s="654">
        <f>SUM(E910,E917,E921)</f>
        <v>86840</v>
      </c>
      <c r="F906" s="654">
        <f>SUM(F910,F917,F921)</f>
        <v>0</v>
      </c>
      <c r="G906" s="655">
        <f>SUM(G910,G917,G921)</f>
        <v>86840</v>
      </c>
      <c r="H906" s="656">
        <f>SUM(H910:H921)</f>
        <v>0</v>
      </c>
      <c r="I906" s="705">
        <f>SUM(I910:I921)</f>
        <v>0</v>
      </c>
      <c r="J906" s="705">
        <f>SUM(J910:J921)</f>
        <v>0</v>
      </c>
      <c r="K906" s="137">
        <f t="shared" si="716"/>
        <v>173680</v>
      </c>
      <c r="L906" s="137">
        <f t="shared" si="702"/>
        <v>86840</v>
      </c>
      <c r="M906" s="169"/>
      <c r="N906" s="169"/>
      <c r="O906" s="169"/>
      <c r="P906" s="169"/>
      <c r="Q906" s="139">
        <f t="shared" si="683"/>
        <v>0</v>
      </c>
    </row>
    <row r="907" spans="1:17" ht="12.75" customHeight="1">
      <c r="A907" s="657"/>
      <c r="B907" s="658" t="s">
        <v>731</v>
      </c>
      <c r="C907" s="659"/>
      <c r="D907" s="660"/>
      <c r="E907" s="661">
        <f t="shared" ref="E907:F907" si="717">SUM(E908:E909)</f>
        <v>86840</v>
      </c>
      <c r="F907" s="661">
        <f t="shared" si="717"/>
        <v>0</v>
      </c>
      <c r="G907" s="662">
        <f t="shared" ref="G907:J907" si="718">SUM(G908:G909)</f>
        <v>86840</v>
      </c>
      <c r="H907" s="663">
        <f t="shared" si="718"/>
        <v>0</v>
      </c>
      <c r="I907" s="706">
        <f t="shared" si="718"/>
        <v>0</v>
      </c>
      <c r="J907" s="706">
        <f t="shared" si="718"/>
        <v>0</v>
      </c>
      <c r="K907" s="137">
        <f t="shared" si="716"/>
        <v>173680</v>
      </c>
      <c r="L907" s="137">
        <f t="shared" si="702"/>
        <v>86840</v>
      </c>
      <c r="M907" s="169"/>
      <c r="N907" s="169"/>
      <c r="O907" s="169"/>
      <c r="P907" s="169"/>
      <c r="Q907" s="139">
        <f t="shared" si="683"/>
        <v>0</v>
      </c>
    </row>
    <row r="908" spans="1:17" ht="12.75" customHeight="1">
      <c r="A908" s="657"/>
      <c r="B908" s="664"/>
      <c r="C908" s="659" t="s">
        <v>732</v>
      </c>
      <c r="D908" s="660"/>
      <c r="E908" s="661">
        <f>SUM(E912,E915,E919,E923,E926)</f>
        <v>84851</v>
      </c>
      <c r="F908" s="661">
        <f>SUM(F912,F915,F919,F923,F926)</f>
        <v>0</v>
      </c>
      <c r="G908" s="665">
        <f>SUM(G912,G915,G919,G923,G926)</f>
        <v>84851</v>
      </c>
      <c r="H908" s="666">
        <f>ROUND(F908*H$7,)</f>
        <v>0</v>
      </c>
      <c r="I908" s="707">
        <f>ROUND(F908*I$7,)</f>
        <v>0</v>
      </c>
      <c r="J908" s="707">
        <f>ROUND(F908*J$7,)</f>
        <v>0</v>
      </c>
      <c r="K908" s="137">
        <f t="shared" si="716"/>
        <v>169702</v>
      </c>
      <c r="L908" s="137">
        <f t="shared" si="702"/>
        <v>84851</v>
      </c>
      <c r="M908" s="169"/>
      <c r="N908" s="169"/>
      <c r="O908" s="169"/>
      <c r="P908" s="169"/>
      <c r="Q908" s="139">
        <f t="shared" si="683"/>
        <v>0</v>
      </c>
    </row>
    <row r="909" spans="1:17" ht="12.75" customHeight="1">
      <c r="A909" s="657"/>
      <c r="B909" s="664"/>
      <c r="C909" s="659" t="s">
        <v>733</v>
      </c>
      <c r="D909" s="660"/>
      <c r="E909" s="661">
        <f>SUBTOTAL(9,E913,E924,E920)</f>
        <v>1989</v>
      </c>
      <c r="F909" s="661">
        <f>SUBTOTAL(9,F913,F924,F920)</f>
        <v>0</v>
      </c>
      <c r="G909" s="665">
        <f>SUM(G913,G916,G920,G924,G927)</f>
        <v>1989</v>
      </c>
      <c r="H909" s="663"/>
      <c r="I909" s="706"/>
      <c r="J909" s="706"/>
      <c r="K909" s="137">
        <f t="shared" si="716"/>
        <v>3978</v>
      </c>
      <c r="L909" s="137">
        <f t="shared" si="702"/>
        <v>1989</v>
      </c>
      <c r="M909" s="169"/>
      <c r="N909" s="169"/>
      <c r="O909" s="169"/>
      <c r="P909" s="169"/>
      <c r="Q909" s="139">
        <f t="shared" si="683"/>
        <v>0</v>
      </c>
    </row>
    <row r="910" spans="1:17" ht="12.75" customHeight="1">
      <c r="A910" s="960" t="s">
        <v>877</v>
      </c>
      <c r="B910" s="948"/>
      <c r="C910" s="948"/>
      <c r="D910" s="553">
        <v>680206</v>
      </c>
      <c r="E910" s="375">
        <f>SUM(E914,E911)</f>
        <v>42358</v>
      </c>
      <c r="F910" s="375">
        <f>SUM(F914,F911)</f>
        <v>0</v>
      </c>
      <c r="G910" s="376">
        <f>SUM(G914,G911)</f>
        <v>42358</v>
      </c>
      <c r="H910" s="478">
        <f>ROUND(F910*H$7,)</f>
        <v>0</v>
      </c>
      <c r="I910" s="531">
        <f>ROUND(F910*I$7,)</f>
        <v>0</v>
      </c>
      <c r="J910" s="531">
        <f>ROUND(F910*J$7,)</f>
        <v>0</v>
      </c>
      <c r="K910" s="137">
        <f t="shared" si="716"/>
        <v>84716</v>
      </c>
      <c r="L910" s="137">
        <f t="shared" si="702"/>
        <v>42358</v>
      </c>
      <c r="M910" s="134" t="e">
        <f>G337+#REF!</f>
        <v>#REF!</v>
      </c>
      <c r="N910" s="132" t="e">
        <f>M910/G910</f>
        <v>#REF!</v>
      </c>
      <c r="O910" s="132" t="s">
        <v>878</v>
      </c>
      <c r="P910" s="134" t="e">
        <f>G910-M910</f>
        <v>#REF!</v>
      </c>
      <c r="Q910" s="139">
        <f t="shared" si="683"/>
        <v>0</v>
      </c>
    </row>
    <row r="911" spans="1:17" ht="12.75" customHeight="1">
      <c r="A911" s="657"/>
      <c r="B911" s="961" t="s">
        <v>879</v>
      </c>
      <c r="C911" s="962"/>
      <c r="D911" s="660"/>
      <c r="E911" s="661">
        <f t="shared" ref="E911:F911" si="719">SUM(E912:E913)</f>
        <v>42358</v>
      </c>
      <c r="F911" s="661">
        <f t="shared" si="719"/>
        <v>0</v>
      </c>
      <c r="G911" s="662">
        <f t="shared" ref="G911" si="720">SUM(G912:G913)</f>
        <v>42358</v>
      </c>
      <c r="H911" s="663">
        <f t="shared" ref="H911:J911" si="721">SUM(H912:H913)</f>
        <v>0</v>
      </c>
      <c r="I911" s="706">
        <f t="shared" si="721"/>
        <v>0</v>
      </c>
      <c r="J911" s="706">
        <f t="shared" si="721"/>
        <v>0</v>
      </c>
      <c r="K911" s="137">
        <f t="shared" si="716"/>
        <v>84716</v>
      </c>
      <c r="L911" s="137">
        <f t="shared" si="702"/>
        <v>42358</v>
      </c>
      <c r="M911" s="169"/>
      <c r="N911" s="169">
        <f>G337/G912</f>
        <v>0.63862723621759765</v>
      </c>
      <c r="O911" s="169"/>
      <c r="P911" s="169"/>
      <c r="Q911" s="139">
        <f t="shared" si="683"/>
        <v>0</v>
      </c>
    </row>
    <row r="912" spans="1:17" ht="15" customHeight="1">
      <c r="A912" s="392"/>
      <c r="B912" s="393"/>
      <c r="C912" s="394" t="s">
        <v>732</v>
      </c>
      <c r="D912" s="414"/>
      <c r="E912" s="396">
        <v>41085</v>
      </c>
      <c r="F912" s="396"/>
      <c r="G912" s="397">
        <f>SUM(F912,E912)</f>
        <v>41085</v>
      </c>
      <c r="H912" s="398"/>
      <c r="I912" s="448"/>
      <c r="J912" s="448"/>
      <c r="K912" s="137">
        <f t="shared" si="716"/>
        <v>82170</v>
      </c>
      <c r="L912" s="137">
        <f t="shared" si="702"/>
        <v>41085</v>
      </c>
      <c r="M912" s="450">
        <v>0.7</v>
      </c>
      <c r="N912" s="132"/>
      <c r="O912" s="132"/>
      <c r="P912" s="132"/>
      <c r="Q912" s="139">
        <f t="shared" si="683"/>
        <v>0</v>
      </c>
    </row>
    <row r="913" spans="1:17" ht="12.75" customHeight="1">
      <c r="A913" s="392"/>
      <c r="B913" s="393"/>
      <c r="C913" s="394" t="s">
        <v>733</v>
      </c>
      <c r="D913" s="414"/>
      <c r="E913" s="396">
        <v>1273</v>
      </c>
      <c r="F913" s="396"/>
      <c r="G913" s="397">
        <f>SUM(F913,E913)</f>
        <v>1273</v>
      </c>
      <c r="H913" s="398"/>
      <c r="I913" s="448"/>
      <c r="J913" s="448"/>
      <c r="K913" s="137">
        <f t="shared" si="716"/>
        <v>2546</v>
      </c>
      <c r="L913" s="137">
        <f t="shared" si="702"/>
        <v>1273</v>
      </c>
      <c r="M913" s="132"/>
      <c r="N913" s="132"/>
      <c r="O913" s="132"/>
      <c r="P913" s="132"/>
      <c r="Q913" s="139">
        <f t="shared" si="683"/>
        <v>0</v>
      </c>
    </row>
    <row r="914" spans="1:17" ht="26.25" hidden="1" customHeight="1">
      <c r="A914" s="667"/>
      <c r="B914" s="966" t="s">
        <v>880</v>
      </c>
      <c r="C914" s="962"/>
      <c r="D914" s="668"/>
      <c r="E914" s="669">
        <f t="shared" ref="E914:F914" si="722">SUM(E915:E916)</f>
        <v>0</v>
      </c>
      <c r="F914" s="669">
        <f t="shared" si="722"/>
        <v>0</v>
      </c>
      <c r="G914" s="670">
        <f t="shared" ref="G914:J914" si="723">SUM(G915:G916)</f>
        <v>0</v>
      </c>
      <c r="H914" s="663">
        <f t="shared" si="723"/>
        <v>0</v>
      </c>
      <c r="I914" s="706">
        <f t="shared" si="723"/>
        <v>0</v>
      </c>
      <c r="J914" s="706">
        <f t="shared" si="723"/>
        <v>0</v>
      </c>
      <c r="K914" s="145">
        <f t="shared" si="716"/>
        <v>0</v>
      </c>
      <c r="L914" s="145">
        <f t="shared" si="702"/>
        <v>0</v>
      </c>
      <c r="M914" s="168"/>
      <c r="N914" s="168"/>
      <c r="O914" s="168"/>
      <c r="P914" s="168"/>
      <c r="Q914" s="139">
        <f t="shared" si="683"/>
        <v>0</v>
      </c>
    </row>
    <row r="915" spans="1:17" ht="12.75" hidden="1" customHeight="1">
      <c r="A915" s="385"/>
      <c r="B915" s="386"/>
      <c r="C915" s="387" t="s">
        <v>732</v>
      </c>
      <c r="D915" s="388"/>
      <c r="E915" s="406"/>
      <c r="F915" s="406"/>
      <c r="G915" s="390">
        <f>SUM(F915,E915)</f>
        <v>0</v>
      </c>
      <c r="H915" s="398"/>
      <c r="I915" s="448"/>
      <c r="J915" s="448"/>
      <c r="K915" s="145">
        <f t="shared" si="716"/>
        <v>0</v>
      </c>
      <c r="L915" s="145">
        <f t="shared" si="702"/>
        <v>0</v>
      </c>
      <c r="M915" s="5"/>
      <c r="N915" s="5"/>
      <c r="O915" s="5"/>
      <c r="P915" s="5"/>
      <c r="Q915" s="139">
        <f t="shared" si="683"/>
        <v>0</v>
      </c>
    </row>
    <row r="916" spans="1:17" ht="12.75" hidden="1" customHeight="1">
      <c r="A916" s="385"/>
      <c r="B916" s="386"/>
      <c r="C916" s="387" t="s">
        <v>733</v>
      </c>
      <c r="D916" s="388"/>
      <c r="E916" s="406"/>
      <c r="F916" s="406"/>
      <c r="G916" s="390">
        <f>SUM(F916,E916)</f>
        <v>0</v>
      </c>
      <c r="H916" s="398"/>
      <c r="I916" s="448"/>
      <c r="J916" s="448"/>
      <c r="K916" s="145">
        <f t="shared" si="716"/>
        <v>0</v>
      </c>
      <c r="L916" s="145">
        <f t="shared" si="702"/>
        <v>0</v>
      </c>
      <c r="M916" s="5"/>
      <c r="N916" s="5"/>
      <c r="O916" s="5"/>
      <c r="P916" s="5"/>
      <c r="Q916" s="139">
        <f t="shared" si="683"/>
        <v>0</v>
      </c>
    </row>
    <row r="917" spans="1:17" ht="12.75" customHeight="1">
      <c r="A917" s="960" t="s">
        <v>881</v>
      </c>
      <c r="B917" s="948"/>
      <c r="C917" s="948"/>
      <c r="D917" s="553">
        <v>68020502</v>
      </c>
      <c r="E917" s="375">
        <f>SUM(E918)</f>
        <v>37681</v>
      </c>
      <c r="F917" s="375">
        <f>SUM(F918)</f>
        <v>0</v>
      </c>
      <c r="G917" s="376">
        <f>SUM(F917,E917)</f>
        <v>37681</v>
      </c>
      <c r="H917" s="478">
        <f>ROUND(F917*H$7,)</f>
        <v>0</v>
      </c>
      <c r="I917" s="531">
        <f>ROUND(F917*I$7,)</f>
        <v>0</v>
      </c>
      <c r="J917" s="531">
        <f>ROUND(F917*J$7,)</f>
        <v>0</v>
      </c>
      <c r="K917" s="137">
        <f t="shared" si="716"/>
        <v>75362</v>
      </c>
      <c r="L917" s="137">
        <f t="shared" si="702"/>
        <v>37681</v>
      </c>
      <c r="M917" s="132"/>
      <c r="N917" s="132"/>
      <c r="O917" s="132"/>
      <c r="P917" s="132"/>
      <c r="Q917" s="139">
        <f t="shared" si="683"/>
        <v>0</v>
      </c>
    </row>
    <row r="918" spans="1:17" ht="12.75" customHeight="1">
      <c r="A918" s="657"/>
      <c r="B918" s="961" t="s">
        <v>879</v>
      </c>
      <c r="C918" s="962"/>
      <c r="D918" s="660"/>
      <c r="E918" s="661">
        <f t="shared" ref="E918:F918" si="724">SUM(E919:E920)</f>
        <v>37681</v>
      </c>
      <c r="F918" s="661">
        <f t="shared" si="724"/>
        <v>0</v>
      </c>
      <c r="G918" s="662">
        <f t="shared" ref="G918" si="725">SUM(G919:G920)</f>
        <v>37681</v>
      </c>
      <c r="H918" s="663">
        <f t="shared" ref="H918:J918" si="726">SUM(H919:H920)</f>
        <v>0</v>
      </c>
      <c r="I918" s="706">
        <f t="shared" si="726"/>
        <v>0</v>
      </c>
      <c r="J918" s="706">
        <f t="shared" si="726"/>
        <v>0</v>
      </c>
      <c r="K918" s="137">
        <f t="shared" si="716"/>
        <v>75362</v>
      </c>
      <c r="L918" s="137">
        <f t="shared" si="702"/>
        <v>37681</v>
      </c>
      <c r="M918" s="169"/>
      <c r="N918" s="169"/>
      <c r="O918" s="169"/>
      <c r="P918" s="169"/>
      <c r="Q918" s="139">
        <f t="shared" si="683"/>
        <v>0</v>
      </c>
    </row>
    <row r="919" spans="1:17" ht="12.75" customHeight="1">
      <c r="A919" s="392"/>
      <c r="B919" s="393"/>
      <c r="C919" s="394" t="s">
        <v>732</v>
      </c>
      <c r="D919" s="414"/>
      <c r="E919" s="671">
        <v>36977</v>
      </c>
      <c r="F919" s="671"/>
      <c r="G919" s="397">
        <f>SUM(F919,E919)</f>
        <v>36977</v>
      </c>
      <c r="H919" s="398"/>
      <c r="I919" s="448"/>
      <c r="J919" s="448"/>
      <c r="K919" s="137">
        <f t="shared" si="716"/>
        <v>73954</v>
      </c>
      <c r="L919" s="137">
        <f t="shared" si="702"/>
        <v>36977</v>
      </c>
      <c r="M919" s="450">
        <v>0.7</v>
      </c>
      <c r="N919" s="132"/>
      <c r="O919" s="132"/>
      <c r="P919" s="132"/>
      <c r="Q919" s="139">
        <f t="shared" si="683"/>
        <v>0</v>
      </c>
    </row>
    <row r="920" spans="1:17" ht="12.75" customHeight="1">
      <c r="A920" s="392"/>
      <c r="B920" s="393"/>
      <c r="C920" s="394" t="s">
        <v>733</v>
      </c>
      <c r="D920" s="414"/>
      <c r="E920" s="396">
        <v>704</v>
      </c>
      <c r="F920" s="396"/>
      <c r="G920" s="397">
        <f>SUM(F920,E920)</f>
        <v>704</v>
      </c>
      <c r="H920" s="398"/>
      <c r="I920" s="448"/>
      <c r="J920" s="448"/>
      <c r="K920" s="137">
        <f t="shared" si="716"/>
        <v>1408</v>
      </c>
      <c r="L920" s="137">
        <f t="shared" si="702"/>
        <v>704</v>
      </c>
      <c r="M920" s="132"/>
      <c r="N920" s="132" t="s">
        <v>882</v>
      </c>
      <c r="O920" s="132"/>
      <c r="P920" s="132"/>
      <c r="Q920" s="139">
        <f t="shared" si="683"/>
        <v>0</v>
      </c>
    </row>
    <row r="921" spans="1:17" ht="12.75" customHeight="1">
      <c r="A921" s="960" t="s">
        <v>883</v>
      </c>
      <c r="B921" s="948"/>
      <c r="C921" s="948"/>
      <c r="D921" s="553">
        <v>680204</v>
      </c>
      <c r="E921" s="375">
        <f>SUM(E922,E925)</f>
        <v>6801</v>
      </c>
      <c r="F921" s="375">
        <f>SUM(F922,F925)</f>
        <v>0</v>
      </c>
      <c r="G921" s="484">
        <f>SUM(F921,E921)</f>
        <v>6801</v>
      </c>
      <c r="H921" s="478">
        <f>ROUND(F921*H$7,)</f>
        <v>0</v>
      </c>
      <c r="I921" s="531">
        <f>ROUND(F921*I$7,)</f>
        <v>0</v>
      </c>
      <c r="J921" s="531">
        <f>ROUND(F921*J$7,)</f>
        <v>0</v>
      </c>
      <c r="K921" s="145">
        <f t="shared" si="716"/>
        <v>13602</v>
      </c>
      <c r="L921" s="145">
        <f t="shared" si="702"/>
        <v>6801</v>
      </c>
      <c r="M921" s="74">
        <f>G338</f>
        <v>18129</v>
      </c>
      <c r="N921" s="5">
        <f>M921/G921</f>
        <v>2.6656374062637846</v>
      </c>
      <c r="O921" s="5" t="s">
        <v>884</v>
      </c>
      <c r="P921" s="74">
        <f>G921-M921</f>
        <v>-11328</v>
      </c>
      <c r="Q921" s="139">
        <f t="shared" si="683"/>
        <v>0</v>
      </c>
    </row>
    <row r="922" spans="1:17" ht="12.75" customHeight="1">
      <c r="A922" s="657"/>
      <c r="B922" s="961" t="s">
        <v>879</v>
      </c>
      <c r="C922" s="962"/>
      <c r="D922" s="660"/>
      <c r="E922" s="661">
        <f t="shared" ref="E922:F922" si="727">SUM(E923:E924)</f>
        <v>6801</v>
      </c>
      <c r="F922" s="661">
        <f t="shared" si="727"/>
        <v>0</v>
      </c>
      <c r="G922" s="670">
        <f t="shared" ref="G922:J922" si="728">SUM(G923:G924)</f>
        <v>6801</v>
      </c>
      <c r="H922" s="663">
        <f t="shared" si="728"/>
        <v>0</v>
      </c>
      <c r="I922" s="706">
        <f t="shared" si="728"/>
        <v>0</v>
      </c>
      <c r="J922" s="706">
        <f t="shared" si="728"/>
        <v>0</v>
      </c>
      <c r="K922" s="145">
        <f t="shared" si="716"/>
        <v>13602</v>
      </c>
      <c r="L922" s="145">
        <f t="shared" si="702"/>
        <v>6801</v>
      </c>
      <c r="M922" s="168"/>
      <c r="N922" s="168">
        <f>(G46+G47)/G923</f>
        <v>3.1758727353071143</v>
      </c>
      <c r="O922" s="168"/>
      <c r="P922" s="168"/>
      <c r="Q922" s="139">
        <f t="shared" si="683"/>
        <v>0</v>
      </c>
    </row>
    <row r="923" spans="1:17" ht="15" customHeight="1">
      <c r="A923" s="392"/>
      <c r="B923" s="393"/>
      <c r="C923" s="394" t="s">
        <v>732</v>
      </c>
      <c r="D923" s="414"/>
      <c r="E923" s="406">
        <v>6789</v>
      </c>
      <c r="F923" s="406"/>
      <c r="G923" s="390">
        <f>SUM(F923,E923)</f>
        <v>6789</v>
      </c>
      <c r="H923" s="398"/>
      <c r="I923" s="448"/>
      <c r="J923" s="448"/>
      <c r="K923" s="145">
        <f t="shared" si="716"/>
        <v>13578</v>
      </c>
      <c r="L923" s="145">
        <f t="shared" si="702"/>
        <v>6789</v>
      </c>
      <c r="M923" s="708">
        <v>0</v>
      </c>
      <c r="N923" s="5"/>
      <c r="O923" s="5"/>
      <c r="P923" s="5"/>
      <c r="Q923" s="139">
        <f t="shared" si="683"/>
        <v>0</v>
      </c>
    </row>
    <row r="924" spans="1:17" ht="12.75" customHeight="1">
      <c r="A924" s="385"/>
      <c r="B924" s="386"/>
      <c r="C924" s="387" t="s">
        <v>733</v>
      </c>
      <c r="D924" s="388"/>
      <c r="E924" s="406">
        <v>12</v>
      </c>
      <c r="F924" s="406"/>
      <c r="G924" s="390">
        <f>SUM(F924,E924)</f>
        <v>12</v>
      </c>
      <c r="H924" s="398"/>
      <c r="I924" s="448"/>
      <c r="J924" s="448"/>
      <c r="K924" s="145">
        <f t="shared" si="716"/>
        <v>24</v>
      </c>
      <c r="L924" s="145">
        <f t="shared" si="702"/>
        <v>12</v>
      </c>
      <c r="M924" s="5"/>
      <c r="N924" s="5"/>
      <c r="O924" s="5"/>
      <c r="P924" s="5"/>
      <c r="Q924" s="139">
        <f t="shared" si="683"/>
        <v>0</v>
      </c>
    </row>
    <row r="925" spans="1:17" ht="26.25" hidden="1" customHeight="1">
      <c r="A925" s="672"/>
      <c r="B925" s="958" t="s">
        <v>885</v>
      </c>
      <c r="C925" s="948"/>
      <c r="D925" s="673"/>
      <c r="E925" s="674">
        <f t="shared" ref="E925:F925" si="729">SUM(E926:E927)</f>
        <v>0</v>
      </c>
      <c r="F925" s="674">
        <f t="shared" si="729"/>
        <v>0</v>
      </c>
      <c r="G925" s="675">
        <f t="shared" ref="G925:J925" si="730">SUM(G926:G927)</f>
        <v>0</v>
      </c>
      <c r="H925" s="663">
        <f t="shared" si="730"/>
        <v>0</v>
      </c>
      <c r="I925" s="706">
        <f t="shared" si="730"/>
        <v>0</v>
      </c>
      <c r="J925" s="706">
        <f t="shared" si="730"/>
        <v>0</v>
      </c>
      <c r="K925" s="145">
        <f t="shared" si="716"/>
        <v>0</v>
      </c>
      <c r="L925" s="145">
        <f t="shared" si="702"/>
        <v>0</v>
      </c>
      <c r="M925" s="168"/>
      <c r="N925" s="168"/>
      <c r="O925" s="168"/>
      <c r="P925" s="168"/>
      <c r="Q925" s="139">
        <f t="shared" ref="Q925:Q988" si="731">E925-G925</f>
        <v>0</v>
      </c>
    </row>
    <row r="926" spans="1:17" ht="12.75" hidden="1" customHeight="1">
      <c r="A926" s="385"/>
      <c r="B926" s="386"/>
      <c r="C926" s="387" t="s">
        <v>732</v>
      </c>
      <c r="D926" s="388"/>
      <c r="E926" s="415"/>
      <c r="F926" s="415"/>
      <c r="G926" s="390">
        <f>SUM(F926,E926)</f>
        <v>0</v>
      </c>
      <c r="H926" s="398"/>
      <c r="I926" s="448"/>
      <c r="J926" s="448"/>
      <c r="K926" s="145">
        <f t="shared" si="716"/>
        <v>0</v>
      </c>
      <c r="L926" s="145">
        <f t="shared" si="702"/>
        <v>0</v>
      </c>
      <c r="M926" s="5"/>
      <c r="N926" s="5"/>
      <c r="O926" s="5"/>
      <c r="P926" s="5"/>
      <c r="Q926" s="139">
        <f t="shared" si="731"/>
        <v>0</v>
      </c>
    </row>
    <row r="927" spans="1:17" ht="12.75" hidden="1" customHeight="1">
      <c r="A927" s="385"/>
      <c r="B927" s="386"/>
      <c r="C927" s="387" t="s">
        <v>733</v>
      </c>
      <c r="D927" s="388"/>
      <c r="E927" s="406"/>
      <c r="F927" s="406"/>
      <c r="G927" s="390">
        <f>SUM(F927,E927)</f>
        <v>0</v>
      </c>
      <c r="H927" s="398"/>
      <c r="I927" s="448"/>
      <c r="J927" s="448"/>
      <c r="K927" s="145">
        <f t="shared" si="716"/>
        <v>0</v>
      </c>
      <c r="L927" s="145">
        <f t="shared" si="702"/>
        <v>0</v>
      </c>
      <c r="M927" s="5"/>
      <c r="N927" s="5"/>
      <c r="O927" s="5"/>
      <c r="P927" s="5"/>
      <c r="Q927" s="139">
        <f t="shared" si="731"/>
        <v>0</v>
      </c>
    </row>
    <row r="928" spans="1:17" ht="12.75" customHeight="1">
      <c r="A928" s="657" t="s">
        <v>886</v>
      </c>
      <c r="B928" s="676"/>
      <c r="C928" s="677"/>
      <c r="D928" s="678"/>
      <c r="E928" s="679">
        <f>SUM(E929,E933,E931)</f>
        <v>2675.9</v>
      </c>
      <c r="F928" s="679">
        <f>SUM(F929,F933,F931)</f>
        <v>0</v>
      </c>
      <c r="G928" s="680">
        <f>SUM(G929,G933,G931)</f>
        <v>2675.9</v>
      </c>
      <c r="H928" s="681">
        <f>SUM(H930)</f>
        <v>0</v>
      </c>
      <c r="I928" s="709">
        <f>SUM(I930)</f>
        <v>0</v>
      </c>
      <c r="J928" s="709">
        <f>SUM(J930)</f>
        <v>0</v>
      </c>
      <c r="K928" s="137">
        <f t="shared" si="716"/>
        <v>5351.8</v>
      </c>
      <c r="L928" s="137">
        <f t="shared" si="702"/>
        <v>2675.9</v>
      </c>
      <c r="M928" s="143"/>
      <c r="N928" s="143"/>
      <c r="O928" s="143"/>
      <c r="P928" s="143"/>
      <c r="Q928" s="139">
        <f t="shared" si="731"/>
        <v>0</v>
      </c>
    </row>
    <row r="929" spans="1:17" ht="24.75" customHeight="1">
      <c r="A929" s="682">
        <v>1</v>
      </c>
      <c r="B929" s="961" t="s">
        <v>887</v>
      </c>
      <c r="C929" s="962"/>
      <c r="D929" s="678">
        <v>680206</v>
      </c>
      <c r="E929" s="661">
        <f>SUM(E930)</f>
        <v>2675.9</v>
      </c>
      <c r="F929" s="661">
        <f>SUM(F930)</f>
        <v>0</v>
      </c>
      <c r="G929" s="662">
        <f>SUM(G930)</f>
        <v>2675.9</v>
      </c>
      <c r="H929" s="663">
        <f>SUM(H930:H933)</f>
        <v>0</v>
      </c>
      <c r="I929" s="706">
        <f>SUM(I930:I933)</f>
        <v>0</v>
      </c>
      <c r="J929" s="706">
        <f>SUM(J930:J933)</f>
        <v>0</v>
      </c>
      <c r="K929" s="137">
        <f t="shared" si="716"/>
        <v>5351.8</v>
      </c>
      <c r="L929" s="137">
        <f t="shared" si="702"/>
        <v>2675.9</v>
      </c>
      <c r="M929" s="169"/>
      <c r="N929" s="169"/>
      <c r="O929" s="169"/>
      <c r="P929" s="169"/>
      <c r="Q929" s="139">
        <f t="shared" si="731"/>
        <v>0</v>
      </c>
    </row>
    <row r="930" spans="1:17" ht="12.75" customHeight="1">
      <c r="A930" s="392"/>
      <c r="B930" s="393"/>
      <c r="C930" s="683" t="s">
        <v>888</v>
      </c>
      <c r="D930" s="684"/>
      <c r="E930" s="396">
        <v>2675.9</v>
      </c>
      <c r="F930" s="396"/>
      <c r="G930" s="420">
        <f>SUM(F930,E930)</f>
        <v>2675.9</v>
      </c>
      <c r="H930" s="663"/>
      <c r="I930" s="706"/>
      <c r="J930" s="706"/>
      <c r="K930" s="137">
        <f t="shared" si="716"/>
        <v>5351.8</v>
      </c>
      <c r="L930" s="137">
        <f t="shared" si="702"/>
        <v>2675.9</v>
      </c>
      <c r="M930" s="132"/>
      <c r="N930" s="132"/>
      <c r="O930" s="134">
        <f>G910+G921</f>
        <v>49159</v>
      </c>
      <c r="P930" s="134">
        <f>O930-N337</f>
        <v>-1392</v>
      </c>
      <c r="Q930" s="139">
        <f t="shared" si="731"/>
        <v>0</v>
      </c>
    </row>
    <row r="931" spans="1:17" ht="24.75" hidden="1" customHeight="1">
      <c r="A931" s="685">
        <v>2</v>
      </c>
      <c r="B931" s="958" t="s">
        <v>889</v>
      </c>
      <c r="C931" s="948"/>
      <c r="D931" s="686">
        <v>680250</v>
      </c>
      <c r="E931" s="674">
        <f>SUM(E932)</f>
        <v>0</v>
      </c>
      <c r="F931" s="674">
        <f>SUM(F932)</f>
        <v>0</v>
      </c>
      <c r="G931" s="675">
        <f>SUM(G932)</f>
        <v>0</v>
      </c>
      <c r="H931" s="663">
        <f>SUM(H932:H935)</f>
        <v>0</v>
      </c>
      <c r="I931" s="706">
        <f>SUM(I932:I935)</f>
        <v>0</v>
      </c>
      <c r="J931" s="706">
        <f>SUM(J932:J935)</f>
        <v>0</v>
      </c>
      <c r="K931" s="145">
        <f t="shared" si="716"/>
        <v>0</v>
      </c>
      <c r="L931" s="145">
        <f t="shared" si="702"/>
        <v>0</v>
      </c>
      <c r="M931" s="168"/>
      <c r="N931" s="168"/>
      <c r="O931" s="168"/>
      <c r="P931" s="168"/>
      <c r="Q931" s="139">
        <f t="shared" si="731"/>
        <v>0</v>
      </c>
    </row>
    <row r="932" spans="1:17" ht="12.75" hidden="1" customHeight="1">
      <c r="A932" s="385"/>
      <c r="B932" s="386"/>
      <c r="C932" s="411" t="s">
        <v>888</v>
      </c>
      <c r="D932" s="687"/>
      <c r="E932" s="674"/>
      <c r="F932" s="674"/>
      <c r="G932" s="549">
        <f>SUM(F932,E932)</f>
        <v>0</v>
      </c>
      <c r="H932" s="663"/>
      <c r="I932" s="706"/>
      <c r="J932" s="706"/>
      <c r="K932" s="145">
        <f t="shared" si="716"/>
        <v>0</v>
      </c>
      <c r="L932" s="145">
        <f t="shared" si="702"/>
        <v>0</v>
      </c>
      <c r="M932" s="5"/>
      <c r="N932" s="5"/>
      <c r="O932" s="74">
        <f>G912+G923</f>
        <v>47874</v>
      </c>
      <c r="P932" s="74">
        <f>O932-N339</f>
        <v>47874</v>
      </c>
      <c r="Q932" s="139">
        <f t="shared" si="731"/>
        <v>0</v>
      </c>
    </row>
    <row r="933" spans="1:17" ht="26.25" hidden="1" customHeight="1">
      <c r="A933" s="672">
        <v>3</v>
      </c>
      <c r="B933" s="958" t="s">
        <v>880</v>
      </c>
      <c r="C933" s="948"/>
      <c r="D933" s="673"/>
      <c r="E933" s="674">
        <f t="shared" ref="E933:F933" si="732">SUM(E934:E935)</f>
        <v>0</v>
      </c>
      <c r="F933" s="674">
        <f t="shared" si="732"/>
        <v>0</v>
      </c>
      <c r="G933" s="675">
        <f t="shared" ref="G933:J933" si="733">SUM(G934:G935)</f>
        <v>0</v>
      </c>
      <c r="H933" s="663">
        <f t="shared" si="733"/>
        <v>0</v>
      </c>
      <c r="I933" s="706">
        <f t="shared" si="733"/>
        <v>0</v>
      </c>
      <c r="J933" s="706">
        <f t="shared" si="733"/>
        <v>0</v>
      </c>
      <c r="K933" s="145">
        <f t="shared" si="716"/>
        <v>0</v>
      </c>
      <c r="L933" s="145">
        <f t="shared" si="702"/>
        <v>0</v>
      </c>
      <c r="M933" s="710">
        <f>G933+G914</f>
        <v>0</v>
      </c>
      <c r="N933" s="168"/>
      <c r="O933" s="168">
        <f>(G45+G46+G47+F65+6184)/(G921+G910)</f>
        <v>1.0981305559510974</v>
      </c>
      <c r="P933" s="168">
        <f>1-O933</f>
        <v>-9.8130555951097431E-2</v>
      </c>
      <c r="Q933" s="139">
        <f t="shared" si="731"/>
        <v>0</v>
      </c>
    </row>
    <row r="934" spans="1:17" ht="12.75" hidden="1" customHeight="1">
      <c r="A934" s="385"/>
      <c r="B934" s="386"/>
      <c r="C934" s="387" t="s">
        <v>732</v>
      </c>
      <c r="D934" s="388"/>
      <c r="E934" s="406"/>
      <c r="F934" s="406"/>
      <c r="G934" s="390">
        <f>SUM(F934,E934)</f>
        <v>0</v>
      </c>
      <c r="H934" s="398"/>
      <c r="I934" s="448"/>
      <c r="J934" s="448"/>
      <c r="K934" s="145">
        <f t="shared" si="716"/>
        <v>0</v>
      </c>
      <c r="L934" s="145">
        <f t="shared" si="702"/>
        <v>0</v>
      </c>
      <c r="M934" s="5"/>
      <c r="N934" s="5"/>
      <c r="O934" s="5"/>
      <c r="P934" s="5"/>
      <c r="Q934" s="139">
        <f t="shared" si="731"/>
        <v>0</v>
      </c>
    </row>
    <row r="935" spans="1:17" ht="12.75" hidden="1" customHeight="1">
      <c r="A935" s="385"/>
      <c r="B935" s="386"/>
      <c r="C935" s="387" t="s">
        <v>733</v>
      </c>
      <c r="D935" s="388"/>
      <c r="E935" s="406"/>
      <c r="F935" s="406"/>
      <c r="G935" s="390">
        <f>SUM(F935,E935)</f>
        <v>0</v>
      </c>
      <c r="H935" s="398"/>
      <c r="I935" s="448"/>
      <c r="J935" s="448"/>
      <c r="K935" s="145">
        <f t="shared" si="716"/>
        <v>0</v>
      </c>
      <c r="L935" s="145">
        <f t="shared" si="702"/>
        <v>0</v>
      </c>
      <c r="M935" s="74"/>
      <c r="N935" s="5"/>
      <c r="O935" s="5"/>
      <c r="P935" s="5"/>
      <c r="Q935" s="139">
        <f t="shared" si="731"/>
        <v>0</v>
      </c>
    </row>
    <row r="936" spans="1:17" ht="24.75" customHeight="1">
      <c r="A936" s="963" t="s">
        <v>890</v>
      </c>
      <c r="B936" s="948"/>
      <c r="C936" s="948"/>
      <c r="D936" s="353"/>
      <c r="E936" s="369">
        <f t="shared" ref="E936:F936" si="734">SUM(E937,E974)</f>
        <v>51004.4</v>
      </c>
      <c r="F936" s="369">
        <f t="shared" si="734"/>
        <v>0</v>
      </c>
      <c r="G936" s="370">
        <f t="shared" ref="G936:J936" si="735">SUM(G937,G974)</f>
        <v>51004.4</v>
      </c>
      <c r="H936" s="356">
        <f t="shared" si="735"/>
        <v>0</v>
      </c>
      <c r="I936" s="442">
        <f t="shared" si="735"/>
        <v>4425</v>
      </c>
      <c r="J936" s="442">
        <f t="shared" si="735"/>
        <v>0</v>
      </c>
      <c r="K936" s="137">
        <f t="shared" si="716"/>
        <v>102008.8</v>
      </c>
      <c r="L936" s="137">
        <f t="shared" si="702"/>
        <v>51004.4</v>
      </c>
      <c r="M936" s="132"/>
      <c r="N936" s="132"/>
      <c r="O936" s="132"/>
      <c r="P936" s="132"/>
      <c r="Q936" s="139">
        <f t="shared" si="731"/>
        <v>0</v>
      </c>
    </row>
    <row r="937" spans="1:17" ht="12.75" customHeight="1">
      <c r="A937" s="350" t="s">
        <v>891</v>
      </c>
      <c r="B937" s="351"/>
      <c r="C937" s="352"/>
      <c r="D937" s="353"/>
      <c r="E937" s="369">
        <f t="shared" ref="E937:F937" si="736">SUM(E938:E939)</f>
        <v>2743.4</v>
      </c>
      <c r="F937" s="369">
        <f t="shared" si="736"/>
        <v>0</v>
      </c>
      <c r="G937" s="370">
        <f t="shared" ref="G937" si="737">SUM(G938:G939)</f>
        <v>2743.4</v>
      </c>
      <c r="H937" s="356">
        <f t="shared" ref="H937:J937" si="738">SUM(H938:H939)</f>
        <v>0</v>
      </c>
      <c r="I937" s="442">
        <f t="shared" si="738"/>
        <v>0</v>
      </c>
      <c r="J937" s="442">
        <f t="shared" si="738"/>
        <v>0</v>
      </c>
      <c r="K937" s="137">
        <f t="shared" si="716"/>
        <v>5486.8</v>
      </c>
      <c r="L937" s="137">
        <f t="shared" si="702"/>
        <v>2743.4</v>
      </c>
      <c r="M937" s="132"/>
      <c r="N937" s="132"/>
      <c r="O937" s="132"/>
      <c r="P937" s="132"/>
      <c r="Q937" s="139">
        <f t="shared" si="731"/>
        <v>0</v>
      </c>
    </row>
    <row r="938" spans="1:17" ht="12.75" hidden="1" customHeight="1">
      <c r="A938" s="586"/>
      <c r="B938" s="643" t="s">
        <v>732</v>
      </c>
      <c r="C938" s="644"/>
      <c r="D938" s="688"/>
      <c r="E938" s="689">
        <f>SUM(E947,E940,E970)</f>
        <v>0</v>
      </c>
      <c r="F938" s="689">
        <f>SUM(F947,F940,F970)</f>
        <v>0</v>
      </c>
      <c r="G938" s="690">
        <f>SUM(G947,G940,G970)</f>
        <v>0</v>
      </c>
      <c r="H938" s="691">
        <f>SUM(H947,H940)</f>
        <v>0</v>
      </c>
      <c r="I938" s="711">
        <f>SUM(I947,I940)</f>
        <v>0</v>
      </c>
      <c r="J938" s="711">
        <f>SUM(J947,J940)</f>
        <v>0</v>
      </c>
      <c r="K938" s="137">
        <f>SUM(K947,K940,K970)</f>
        <v>0</v>
      </c>
      <c r="L938" s="137">
        <f>C938</f>
        <v>0</v>
      </c>
      <c r="M938" s="132"/>
      <c r="N938" s="132"/>
      <c r="O938" s="132"/>
      <c r="P938" s="132"/>
      <c r="Q938" s="139">
        <f t="shared" si="731"/>
        <v>0</v>
      </c>
    </row>
    <row r="939" spans="1:17" ht="12.75" customHeight="1">
      <c r="A939" s="586"/>
      <c r="B939" s="643" t="s">
        <v>733</v>
      </c>
      <c r="C939" s="644"/>
      <c r="D939" s="645"/>
      <c r="E939" s="692">
        <f>SUM(E971,E973)</f>
        <v>2743.4</v>
      </c>
      <c r="F939" s="692">
        <f>SUM(F971,F973)</f>
        <v>0</v>
      </c>
      <c r="G939" s="693">
        <f>SUM(G971,G973)</f>
        <v>2743.4</v>
      </c>
      <c r="H939" s="642">
        <f>SUBTOTAL(9,H952,H973,H965,H966)</f>
        <v>0</v>
      </c>
      <c r="I939" s="652">
        <f>SUBTOTAL(9,I952,I973,I965,I966)</f>
        <v>0</v>
      </c>
      <c r="J939" s="652">
        <f>SUBTOTAL(9,J952,J973,J965,J966)</f>
        <v>0</v>
      </c>
      <c r="K939" s="137">
        <f t="shared" si="716"/>
        <v>5486.8</v>
      </c>
      <c r="L939" s="137">
        <f t="shared" si="702"/>
        <v>2743.4</v>
      </c>
      <c r="M939" s="132"/>
      <c r="N939" s="132"/>
      <c r="O939" s="132"/>
      <c r="P939" s="132"/>
      <c r="Q939" s="139">
        <f t="shared" si="731"/>
        <v>0</v>
      </c>
    </row>
    <row r="940" spans="1:17" ht="27" hidden="1" customHeight="1">
      <c r="A940" s="949" t="s">
        <v>892</v>
      </c>
      <c r="B940" s="948"/>
      <c r="C940" s="948"/>
      <c r="D940" s="428"/>
      <c r="E940" s="483">
        <f t="shared" ref="E940:F940" si="739">SUM(E941:E946)</f>
        <v>0</v>
      </c>
      <c r="F940" s="483">
        <f t="shared" si="739"/>
        <v>0</v>
      </c>
      <c r="G940" s="484">
        <f t="shared" ref="G940" si="740">SUM(G941:G946)</f>
        <v>0</v>
      </c>
      <c r="H940" s="478">
        <f t="shared" ref="H940:J940" si="741">SUM(H941:H946)</f>
        <v>0</v>
      </c>
      <c r="I940" s="531">
        <f t="shared" si="741"/>
        <v>0</v>
      </c>
      <c r="J940" s="531">
        <f t="shared" si="741"/>
        <v>0</v>
      </c>
      <c r="K940" s="145">
        <f t="shared" si="716"/>
        <v>0</v>
      </c>
      <c r="L940" s="145">
        <f t="shared" si="702"/>
        <v>0</v>
      </c>
      <c r="M940" s="5"/>
      <c r="N940" s="5"/>
      <c r="O940" s="5"/>
      <c r="P940" s="5"/>
      <c r="Q940" s="139">
        <f t="shared" si="731"/>
        <v>0</v>
      </c>
    </row>
    <row r="941" spans="1:17" ht="12.75" hidden="1" customHeight="1">
      <c r="A941" s="544"/>
      <c r="B941" s="545" t="s">
        <v>893</v>
      </c>
      <c r="C941" s="694"/>
      <c r="D941" s="687"/>
      <c r="E941" s="695"/>
      <c r="F941" s="695"/>
      <c r="G941" s="390">
        <f t="shared" ref="G941:G946" si="742">SUM(F941,E941)</f>
        <v>0</v>
      </c>
      <c r="H941" s="696"/>
      <c r="I941" s="712"/>
      <c r="J941" s="712"/>
      <c r="K941" s="145">
        <f t="shared" si="716"/>
        <v>0</v>
      </c>
      <c r="L941" s="145">
        <f t="shared" si="702"/>
        <v>0</v>
      </c>
      <c r="M941" s="5"/>
      <c r="N941" s="5"/>
      <c r="O941" s="5"/>
      <c r="P941" s="5"/>
      <c r="Q941" s="139">
        <f t="shared" si="731"/>
        <v>0</v>
      </c>
    </row>
    <row r="942" spans="1:17" ht="12.75" hidden="1" customHeight="1">
      <c r="A942" s="544"/>
      <c r="B942" s="545" t="s">
        <v>894</v>
      </c>
      <c r="C942" s="694"/>
      <c r="D942" s="687"/>
      <c r="E942" s="695"/>
      <c r="F942" s="695"/>
      <c r="G942" s="390">
        <f t="shared" si="742"/>
        <v>0</v>
      </c>
      <c r="H942" s="696"/>
      <c r="I942" s="712"/>
      <c r="J942" s="712"/>
      <c r="K942" s="145">
        <f t="shared" si="716"/>
        <v>0</v>
      </c>
      <c r="L942" s="145">
        <f t="shared" si="702"/>
        <v>0</v>
      </c>
      <c r="M942" s="5"/>
      <c r="N942" s="5"/>
      <c r="O942" s="5"/>
      <c r="P942" s="5"/>
      <c r="Q942" s="139">
        <f t="shared" si="731"/>
        <v>0</v>
      </c>
    </row>
    <row r="943" spans="1:17" ht="12.75" hidden="1" customHeight="1">
      <c r="A943" s="544"/>
      <c r="B943" s="545" t="s">
        <v>895</v>
      </c>
      <c r="C943" s="694"/>
      <c r="D943" s="687"/>
      <c r="E943" s="695"/>
      <c r="F943" s="695"/>
      <c r="G943" s="390">
        <f t="shared" si="742"/>
        <v>0</v>
      </c>
      <c r="H943" s="696"/>
      <c r="I943" s="712"/>
      <c r="J943" s="712"/>
      <c r="K943" s="145">
        <f t="shared" si="716"/>
        <v>0</v>
      </c>
      <c r="L943" s="145">
        <f t="shared" si="702"/>
        <v>0</v>
      </c>
      <c r="M943" s="5"/>
      <c r="N943" s="5"/>
      <c r="O943" s="5"/>
      <c r="P943" s="5"/>
      <c r="Q943" s="139">
        <f t="shared" si="731"/>
        <v>0</v>
      </c>
    </row>
    <row r="944" spans="1:17" ht="12.75" hidden="1" customHeight="1">
      <c r="A944" s="544"/>
      <c r="B944" s="545" t="s">
        <v>896</v>
      </c>
      <c r="C944" s="694"/>
      <c r="D944" s="687"/>
      <c r="E944" s="695"/>
      <c r="F944" s="695"/>
      <c r="G944" s="390">
        <f t="shared" si="742"/>
        <v>0</v>
      </c>
      <c r="H944" s="696"/>
      <c r="I944" s="712"/>
      <c r="J944" s="712"/>
      <c r="K944" s="145">
        <f t="shared" si="716"/>
        <v>0</v>
      </c>
      <c r="L944" s="145">
        <f t="shared" si="702"/>
        <v>0</v>
      </c>
      <c r="M944" s="5"/>
      <c r="N944" s="5"/>
      <c r="O944" s="5"/>
      <c r="P944" s="5"/>
      <c r="Q944" s="139">
        <f t="shared" si="731"/>
        <v>0</v>
      </c>
    </row>
    <row r="945" spans="1:17" ht="12.75" hidden="1" customHeight="1">
      <c r="A945" s="544"/>
      <c r="B945" s="545" t="s">
        <v>897</v>
      </c>
      <c r="C945" s="694"/>
      <c r="D945" s="687"/>
      <c r="E945" s="695"/>
      <c r="F945" s="695"/>
      <c r="G945" s="390">
        <f t="shared" si="742"/>
        <v>0</v>
      </c>
      <c r="H945" s="696"/>
      <c r="I945" s="712"/>
      <c r="J945" s="712"/>
      <c r="K945" s="145">
        <f t="shared" si="716"/>
        <v>0</v>
      </c>
      <c r="L945" s="145">
        <f t="shared" si="702"/>
        <v>0</v>
      </c>
      <c r="M945" s="5"/>
      <c r="N945" s="5"/>
      <c r="O945" s="5"/>
      <c r="P945" s="5"/>
      <c r="Q945" s="139">
        <f t="shared" si="731"/>
        <v>0</v>
      </c>
    </row>
    <row r="946" spans="1:17" ht="12.75" hidden="1" customHeight="1">
      <c r="A946" s="544"/>
      <c r="B946" s="545" t="s">
        <v>898</v>
      </c>
      <c r="C946" s="694"/>
      <c r="D946" s="687"/>
      <c r="E946" s="695"/>
      <c r="F946" s="695"/>
      <c r="G946" s="390">
        <f t="shared" si="742"/>
        <v>0</v>
      </c>
      <c r="H946" s="696"/>
      <c r="I946" s="712"/>
      <c r="J946" s="712"/>
      <c r="K946" s="145">
        <f t="shared" si="716"/>
        <v>0</v>
      </c>
      <c r="L946" s="145">
        <f t="shared" si="702"/>
        <v>0</v>
      </c>
      <c r="M946" s="5"/>
      <c r="N946" s="5"/>
      <c r="O946" s="5"/>
      <c r="P946" s="5"/>
      <c r="Q946" s="139">
        <f t="shared" si="731"/>
        <v>0</v>
      </c>
    </row>
    <row r="947" spans="1:17" ht="27" hidden="1" customHeight="1">
      <c r="A947" s="949" t="s">
        <v>899</v>
      </c>
      <c r="B947" s="948"/>
      <c r="C947" s="948"/>
      <c r="D947" s="482"/>
      <c r="E947" s="483">
        <f t="shared" ref="E947:F947" si="743">SUM(E948:E950)</f>
        <v>0</v>
      </c>
      <c r="F947" s="483">
        <f t="shared" si="743"/>
        <v>0</v>
      </c>
      <c r="G947" s="484">
        <f t="shared" ref="G947:J947" si="744">SUM(G948:G950)</f>
        <v>0</v>
      </c>
      <c r="H947" s="478">
        <f t="shared" si="744"/>
        <v>0</v>
      </c>
      <c r="I947" s="531">
        <f t="shared" si="744"/>
        <v>0</v>
      </c>
      <c r="J947" s="531">
        <f t="shared" si="744"/>
        <v>0</v>
      </c>
      <c r="K947" s="145">
        <f t="shared" si="716"/>
        <v>0</v>
      </c>
      <c r="L947" s="145">
        <f t="shared" si="702"/>
        <v>0</v>
      </c>
      <c r="M947" s="5"/>
      <c r="N947" s="5"/>
      <c r="O947" s="5"/>
      <c r="P947" s="5"/>
      <c r="Q947" s="139">
        <f t="shared" si="731"/>
        <v>0</v>
      </c>
    </row>
    <row r="948" spans="1:17" ht="12.75" hidden="1" customHeight="1">
      <c r="A948" s="544"/>
      <c r="B948" s="545" t="s">
        <v>900</v>
      </c>
      <c r="C948" s="694"/>
      <c r="D948" s="687"/>
      <c r="E948" s="697"/>
      <c r="F948" s="697"/>
      <c r="G948" s="390">
        <f>SUM(F948,E948)</f>
        <v>0</v>
      </c>
      <c r="H948" s="698"/>
      <c r="I948" s="713"/>
      <c r="J948" s="713"/>
      <c r="K948" s="145">
        <f t="shared" si="716"/>
        <v>0</v>
      </c>
      <c r="L948" s="145">
        <f t="shared" si="702"/>
        <v>0</v>
      </c>
      <c r="M948" s="5"/>
      <c r="N948" s="5"/>
      <c r="O948" s="5"/>
      <c r="P948" s="5"/>
      <c r="Q948" s="139">
        <f t="shared" si="731"/>
        <v>0</v>
      </c>
    </row>
    <row r="949" spans="1:17" ht="12.75" hidden="1" customHeight="1">
      <c r="A949" s="544"/>
      <c r="B949" s="545" t="s">
        <v>901</v>
      </c>
      <c r="C949" s="694"/>
      <c r="D949" s="687"/>
      <c r="E949" s="697"/>
      <c r="F949" s="697"/>
      <c r="G949" s="390">
        <f>SUM(F949,E949)</f>
        <v>0</v>
      </c>
      <c r="H949" s="698"/>
      <c r="I949" s="713"/>
      <c r="J949" s="713"/>
      <c r="K949" s="145">
        <f t="shared" si="716"/>
        <v>0</v>
      </c>
      <c r="L949" s="145">
        <f t="shared" si="702"/>
        <v>0</v>
      </c>
      <c r="M949" s="5"/>
      <c r="N949" s="5"/>
      <c r="O949" s="5"/>
      <c r="P949" s="5"/>
      <c r="Q949" s="139">
        <f t="shared" si="731"/>
        <v>0</v>
      </c>
    </row>
    <row r="950" spans="1:17" ht="12.75" hidden="1" customHeight="1">
      <c r="A950" s="699"/>
      <c r="B950" s="956" t="s">
        <v>902</v>
      </c>
      <c r="C950" s="957"/>
      <c r="D950" s="700"/>
      <c r="E950" s="548"/>
      <c r="F950" s="548"/>
      <c r="G950" s="701">
        <f>SUM(F950,E950)</f>
        <v>0</v>
      </c>
      <c r="H950" s="702"/>
      <c r="I950" s="714"/>
      <c r="J950" s="714"/>
      <c r="K950" s="145">
        <f t="shared" si="716"/>
        <v>0</v>
      </c>
      <c r="L950" s="145">
        <f t="shared" si="702"/>
        <v>0</v>
      </c>
      <c r="M950" s="57"/>
      <c r="N950" s="57"/>
      <c r="O950" s="57"/>
      <c r="P950" s="57"/>
      <c r="Q950" s="139">
        <f t="shared" si="731"/>
        <v>0</v>
      </c>
    </row>
    <row r="951" spans="1:17" ht="12.75" hidden="1" customHeight="1">
      <c r="A951" s="425" t="s">
        <v>903</v>
      </c>
      <c r="B951" s="426"/>
      <c r="C951" s="427"/>
      <c r="D951" s="557">
        <v>700250</v>
      </c>
      <c r="E951" s="483">
        <f t="shared" ref="E951:F951" si="745">SUM(E952,E960,E961,E962,E963,E964,E965,E966)</f>
        <v>0</v>
      </c>
      <c r="F951" s="483">
        <f t="shared" si="745"/>
        <v>0</v>
      </c>
      <c r="G951" s="484">
        <f t="shared" ref="G951:J951" si="746">SUM(G952,G960,G961,G962,G963,G964,G965,G966)</f>
        <v>0</v>
      </c>
      <c r="H951" s="478">
        <f t="shared" si="746"/>
        <v>0</v>
      </c>
      <c r="I951" s="531">
        <f t="shared" si="746"/>
        <v>0</v>
      </c>
      <c r="J951" s="531">
        <f t="shared" si="746"/>
        <v>0</v>
      </c>
      <c r="K951" s="145">
        <f t="shared" si="716"/>
        <v>0</v>
      </c>
      <c r="L951" s="145">
        <f t="shared" si="702"/>
        <v>0</v>
      </c>
      <c r="M951" s="5"/>
      <c r="N951" s="5"/>
      <c r="O951" s="5"/>
      <c r="P951" s="5"/>
      <c r="Q951" s="139">
        <f t="shared" si="731"/>
        <v>0</v>
      </c>
    </row>
    <row r="952" spans="1:17" ht="64.5" hidden="1" customHeight="1">
      <c r="A952" s="544"/>
      <c r="B952" s="958" t="s">
        <v>904</v>
      </c>
      <c r="C952" s="957"/>
      <c r="D952" s="687"/>
      <c r="E952" s="697">
        <f>SUM(E954:E959)</f>
        <v>0</v>
      </c>
      <c r="F952" s="697">
        <f>SUM(F954:F959)</f>
        <v>0</v>
      </c>
      <c r="G952" s="390">
        <f>SUM(F952,E952)</f>
        <v>0</v>
      </c>
      <c r="H952" s="698"/>
      <c r="I952" s="713"/>
      <c r="J952" s="713"/>
      <c r="K952" s="145">
        <f t="shared" si="716"/>
        <v>0</v>
      </c>
      <c r="L952" s="145">
        <f t="shared" si="702"/>
        <v>0</v>
      </c>
      <c r="M952" s="5"/>
      <c r="N952" s="5"/>
      <c r="O952" s="5"/>
      <c r="P952" s="5"/>
      <c r="Q952" s="139">
        <f t="shared" si="731"/>
        <v>0</v>
      </c>
    </row>
    <row r="953" spans="1:17" ht="12.75" hidden="1" customHeight="1">
      <c r="A953" s="544"/>
      <c r="B953" s="612"/>
      <c r="C953" s="387" t="s">
        <v>731</v>
      </c>
      <c r="D953" s="687"/>
      <c r="E953" s="697"/>
      <c r="F953" s="697"/>
      <c r="G953" s="390"/>
      <c r="H953" s="698"/>
      <c r="I953" s="713"/>
      <c r="J953" s="713"/>
      <c r="K953" s="145">
        <f t="shared" si="716"/>
        <v>0</v>
      </c>
      <c r="L953" s="145">
        <f t="shared" si="702"/>
        <v>0</v>
      </c>
      <c r="M953" s="5"/>
      <c r="N953" s="5"/>
      <c r="O953" s="5"/>
      <c r="P953" s="5"/>
      <c r="Q953" s="139">
        <f t="shared" si="731"/>
        <v>0</v>
      </c>
    </row>
    <row r="954" spans="1:17" ht="25.5" hidden="1" customHeight="1">
      <c r="A954" s="544"/>
      <c r="B954" s="612"/>
      <c r="C954" s="387" t="s">
        <v>905</v>
      </c>
      <c r="D954" s="687"/>
      <c r="E954" s="474"/>
      <c r="F954" s="474"/>
      <c r="G954" s="390">
        <f t="shared" ref="G954:G971" si="747">SUM(F954,E954)</f>
        <v>0</v>
      </c>
      <c r="H954" s="409"/>
      <c r="I954" s="453"/>
      <c r="J954" s="453"/>
      <c r="K954" s="145">
        <f t="shared" si="716"/>
        <v>0</v>
      </c>
      <c r="L954" s="145">
        <f t="shared" si="702"/>
        <v>0</v>
      </c>
      <c r="M954" s="5"/>
      <c r="N954" s="5"/>
      <c r="O954" s="5"/>
      <c r="P954" s="5"/>
      <c r="Q954" s="139">
        <f t="shared" si="731"/>
        <v>0</v>
      </c>
    </row>
    <row r="955" spans="1:17" ht="12.75" hidden="1" customHeight="1">
      <c r="A955" s="544"/>
      <c r="B955" s="612"/>
      <c r="C955" s="387" t="s">
        <v>906</v>
      </c>
      <c r="D955" s="687"/>
      <c r="E955" s="474"/>
      <c r="F955" s="474"/>
      <c r="G955" s="390">
        <f t="shared" si="747"/>
        <v>0</v>
      </c>
      <c r="H955" s="409"/>
      <c r="I955" s="453"/>
      <c r="J955" s="453"/>
      <c r="K955" s="145">
        <f t="shared" si="716"/>
        <v>0</v>
      </c>
      <c r="L955" s="145">
        <f t="shared" si="702"/>
        <v>0</v>
      </c>
      <c r="M955" s="5"/>
      <c r="N955" s="5"/>
      <c r="O955" s="5"/>
      <c r="P955" s="5"/>
      <c r="Q955" s="139">
        <f t="shared" si="731"/>
        <v>0</v>
      </c>
    </row>
    <row r="956" spans="1:17" ht="38.25" hidden="1" customHeight="1">
      <c r="A956" s="544"/>
      <c r="B956" s="612"/>
      <c r="C956" s="387" t="s">
        <v>907</v>
      </c>
      <c r="D956" s="687"/>
      <c r="E956" s="474"/>
      <c r="F956" s="474"/>
      <c r="G956" s="390">
        <f t="shared" si="747"/>
        <v>0</v>
      </c>
      <c r="H956" s="409"/>
      <c r="I956" s="453"/>
      <c r="J956" s="453"/>
      <c r="K956" s="145">
        <f t="shared" si="716"/>
        <v>0</v>
      </c>
      <c r="L956" s="145">
        <f t="shared" si="702"/>
        <v>0</v>
      </c>
      <c r="M956" s="5"/>
      <c r="N956" s="5"/>
      <c r="O956" s="5"/>
      <c r="P956" s="5"/>
      <c r="Q956" s="139">
        <f t="shared" si="731"/>
        <v>0</v>
      </c>
    </row>
    <row r="957" spans="1:17" ht="24.75" hidden="1" customHeight="1">
      <c r="A957" s="544"/>
      <c r="B957" s="612"/>
      <c r="C957" s="387" t="s">
        <v>908</v>
      </c>
      <c r="D957" s="687"/>
      <c r="E957" s="474"/>
      <c r="F957" s="474"/>
      <c r="G957" s="390">
        <f t="shared" si="747"/>
        <v>0</v>
      </c>
      <c r="H957" s="409"/>
      <c r="I957" s="453"/>
      <c r="J957" s="453"/>
      <c r="K957" s="145">
        <f t="shared" si="716"/>
        <v>0</v>
      </c>
      <c r="L957" s="145">
        <f t="shared" si="702"/>
        <v>0</v>
      </c>
      <c r="M957" s="5"/>
      <c r="N957" s="5"/>
      <c r="O957" s="5"/>
      <c r="P957" s="5"/>
      <c r="Q957" s="139">
        <f t="shared" si="731"/>
        <v>0</v>
      </c>
    </row>
    <row r="958" spans="1:17" ht="62.25" hidden="1" customHeight="1">
      <c r="A958" s="544"/>
      <c r="B958" s="612"/>
      <c r="C958" s="387" t="s">
        <v>909</v>
      </c>
      <c r="D958" s="687"/>
      <c r="E958" s="474"/>
      <c r="F958" s="474"/>
      <c r="G958" s="390">
        <f t="shared" si="747"/>
        <v>0</v>
      </c>
      <c r="H958" s="409"/>
      <c r="I958" s="453"/>
      <c r="J958" s="453"/>
      <c r="K958" s="145">
        <f t="shared" si="716"/>
        <v>0</v>
      </c>
      <c r="L958" s="145">
        <f t="shared" si="702"/>
        <v>0</v>
      </c>
      <c r="M958" s="5"/>
      <c r="N958" s="5"/>
      <c r="O958" s="5"/>
      <c r="P958" s="5"/>
      <c r="Q958" s="139">
        <f t="shared" si="731"/>
        <v>0</v>
      </c>
    </row>
    <row r="959" spans="1:17" ht="38.25" hidden="1" customHeight="1">
      <c r="A959" s="544"/>
      <c r="B959" s="612"/>
      <c r="C959" s="387" t="s">
        <v>910</v>
      </c>
      <c r="D959" s="687"/>
      <c r="E959" s="697"/>
      <c r="F959" s="697"/>
      <c r="G959" s="390">
        <f t="shared" si="747"/>
        <v>0</v>
      </c>
      <c r="H959" s="698"/>
      <c r="I959" s="713"/>
      <c r="J959" s="713"/>
      <c r="K959" s="145">
        <f t="shared" si="716"/>
        <v>0</v>
      </c>
      <c r="L959" s="145">
        <f t="shared" si="702"/>
        <v>0</v>
      </c>
      <c r="M959" s="5"/>
      <c r="N959" s="5"/>
      <c r="O959" s="5"/>
      <c r="P959" s="5"/>
      <c r="Q959" s="139">
        <f t="shared" si="731"/>
        <v>0</v>
      </c>
    </row>
    <row r="960" spans="1:17" ht="12.75" hidden="1" customHeight="1">
      <c r="A960" s="544"/>
      <c r="B960" s="545" t="s">
        <v>911</v>
      </c>
      <c r="C960" s="694"/>
      <c r="D960" s="687"/>
      <c r="E960" s="697"/>
      <c r="F960" s="697"/>
      <c r="G960" s="390">
        <f t="shared" si="747"/>
        <v>0</v>
      </c>
      <c r="H960" s="703"/>
      <c r="I960" s="715"/>
      <c r="J960" s="715"/>
      <c r="K960" s="145">
        <f t="shared" si="716"/>
        <v>0</v>
      </c>
      <c r="L960" s="145">
        <f t="shared" si="702"/>
        <v>0</v>
      </c>
      <c r="M960" s="5"/>
      <c r="N960" s="5"/>
      <c r="O960" s="5"/>
      <c r="P960" s="5"/>
      <c r="Q960" s="139">
        <f t="shared" si="731"/>
        <v>0</v>
      </c>
    </row>
    <row r="961" spans="1:17" ht="52.5" hidden="1" customHeight="1">
      <c r="A961" s="699"/>
      <c r="B961" s="956" t="s">
        <v>912</v>
      </c>
      <c r="C961" s="957"/>
      <c r="D961" s="700"/>
      <c r="E961" s="548"/>
      <c r="F961" s="548"/>
      <c r="G961" s="701">
        <f t="shared" si="747"/>
        <v>0</v>
      </c>
      <c r="H961" s="550"/>
      <c r="I961" s="571"/>
      <c r="J961" s="571"/>
      <c r="K961" s="145">
        <f t="shared" si="716"/>
        <v>0</v>
      </c>
      <c r="L961" s="145">
        <f t="shared" si="702"/>
        <v>0</v>
      </c>
      <c r="M961" s="57"/>
      <c r="N961" s="57"/>
      <c r="O961" s="57"/>
      <c r="P961" s="57"/>
      <c r="Q961" s="139">
        <f t="shared" si="731"/>
        <v>0</v>
      </c>
    </row>
    <row r="962" spans="1:17" ht="37.5" hidden="1" customHeight="1">
      <c r="A962" s="699"/>
      <c r="B962" s="956" t="s">
        <v>913</v>
      </c>
      <c r="C962" s="957"/>
      <c r="D962" s="700"/>
      <c r="E962" s="548"/>
      <c r="F962" s="548"/>
      <c r="G962" s="701">
        <f t="shared" si="747"/>
        <v>0</v>
      </c>
      <c r="H962" s="550"/>
      <c r="I962" s="571"/>
      <c r="J962" s="571"/>
      <c r="K962" s="145">
        <f t="shared" si="716"/>
        <v>0</v>
      </c>
      <c r="L962" s="145">
        <f t="shared" si="702"/>
        <v>0</v>
      </c>
      <c r="M962" s="57"/>
      <c r="N962" s="57"/>
      <c r="O962" s="57"/>
      <c r="P962" s="57"/>
      <c r="Q962" s="139">
        <f t="shared" si="731"/>
        <v>0</v>
      </c>
    </row>
    <row r="963" spans="1:17" ht="37.5" hidden="1" customHeight="1">
      <c r="A963" s="699"/>
      <c r="B963" s="958" t="s">
        <v>914</v>
      </c>
      <c r="C963" s="957"/>
      <c r="D963" s="547"/>
      <c r="E963" s="548"/>
      <c r="F963" s="548"/>
      <c r="G963" s="701">
        <f t="shared" si="747"/>
        <v>0</v>
      </c>
      <c r="H963" s="550"/>
      <c r="I963" s="571"/>
      <c r="J963" s="571"/>
      <c r="K963" s="145">
        <f t="shared" si="716"/>
        <v>0</v>
      </c>
      <c r="L963" s="145">
        <f t="shared" si="702"/>
        <v>0</v>
      </c>
      <c r="M963" s="57"/>
      <c r="N963" s="57"/>
      <c r="O963" s="57"/>
      <c r="P963" s="57"/>
      <c r="Q963" s="139">
        <f t="shared" si="731"/>
        <v>0</v>
      </c>
    </row>
    <row r="964" spans="1:17" ht="27" hidden="1" customHeight="1">
      <c r="A964" s="699"/>
      <c r="B964" s="958" t="s">
        <v>915</v>
      </c>
      <c r="C964" s="957"/>
      <c r="D964" s="547"/>
      <c r="E964" s="548"/>
      <c r="F964" s="548"/>
      <c r="G964" s="701">
        <f t="shared" si="747"/>
        <v>0</v>
      </c>
      <c r="H964" s="550"/>
      <c r="I964" s="571"/>
      <c r="J964" s="571"/>
      <c r="K964" s="145">
        <f t="shared" si="716"/>
        <v>0</v>
      </c>
      <c r="L964" s="145">
        <f t="shared" si="702"/>
        <v>0</v>
      </c>
      <c r="M964" s="57"/>
      <c r="N964" s="57"/>
      <c r="O964" s="57"/>
      <c r="P964" s="57"/>
      <c r="Q964" s="139">
        <f t="shared" si="731"/>
        <v>0</v>
      </c>
    </row>
    <row r="965" spans="1:17" ht="12.75" hidden="1" customHeight="1">
      <c r="A965" s="699"/>
      <c r="B965" s="958" t="s">
        <v>916</v>
      </c>
      <c r="C965" s="957"/>
      <c r="D965" s="547"/>
      <c r="E965" s="548"/>
      <c r="F965" s="548"/>
      <c r="G965" s="701">
        <f t="shared" si="747"/>
        <v>0</v>
      </c>
      <c r="H965" s="702"/>
      <c r="I965" s="714"/>
      <c r="J965" s="714"/>
      <c r="K965" s="145">
        <f t="shared" si="716"/>
        <v>0</v>
      </c>
      <c r="L965" s="145">
        <f t="shared" si="702"/>
        <v>0</v>
      </c>
      <c r="M965" s="57"/>
      <c r="N965" s="57"/>
      <c r="O965" s="57"/>
      <c r="P965" s="57"/>
      <c r="Q965" s="139">
        <f t="shared" si="731"/>
        <v>0</v>
      </c>
    </row>
    <row r="966" spans="1:17" ht="12.75" hidden="1" customHeight="1">
      <c r="A966" s="385"/>
      <c r="B966" s="410" t="s">
        <v>917</v>
      </c>
      <c r="C966" s="387"/>
      <c r="D966" s="403"/>
      <c r="E966" s="406"/>
      <c r="F966" s="406"/>
      <c r="G966" s="390">
        <f t="shared" si="747"/>
        <v>0</v>
      </c>
      <c r="H966" s="407"/>
      <c r="I966" s="452"/>
      <c r="J966" s="452"/>
      <c r="K966" s="145">
        <f t="shared" si="716"/>
        <v>0</v>
      </c>
      <c r="L966" s="145">
        <f t="shared" si="702"/>
        <v>0</v>
      </c>
      <c r="M966" s="5"/>
      <c r="N966" s="5"/>
      <c r="O966" s="5"/>
      <c r="P966" s="5"/>
      <c r="Q966" s="139">
        <f t="shared" si="731"/>
        <v>0</v>
      </c>
    </row>
    <row r="967" spans="1:17" ht="38.25" hidden="1" customHeight="1">
      <c r="A967" s="959" t="s">
        <v>918</v>
      </c>
      <c r="B967" s="948"/>
      <c r="C967" s="957"/>
      <c r="D967" s="553" t="s">
        <v>919</v>
      </c>
      <c r="E967" s="519">
        <f>SUM(E968:E969)</f>
        <v>0</v>
      </c>
      <c r="F967" s="519">
        <f>SUM(F968:F969)</f>
        <v>0</v>
      </c>
      <c r="G967" s="704">
        <f t="shared" si="747"/>
        <v>0</v>
      </c>
      <c r="H967" s="431">
        <f>SUM(H972)</f>
        <v>0</v>
      </c>
      <c r="I967" s="456">
        <f>SUM(I972)</f>
        <v>0</v>
      </c>
      <c r="J967" s="456">
        <f>SUM(J972)</f>
        <v>0</v>
      </c>
      <c r="K967" s="137">
        <f t="shared" si="716"/>
        <v>0</v>
      </c>
      <c r="L967" s="137">
        <f t="shared" si="702"/>
        <v>0</v>
      </c>
      <c r="M967" s="132"/>
      <c r="N967" s="132"/>
      <c r="O967" s="132"/>
      <c r="P967" s="132"/>
      <c r="Q967" s="139">
        <f t="shared" si="731"/>
        <v>0</v>
      </c>
    </row>
    <row r="968" spans="1:17" s="66" customFormat="1" ht="12.75" hidden="1" customHeight="1">
      <c r="A968" s="601"/>
      <c r="B968" s="602"/>
      <c r="C968" s="593" t="s">
        <v>920</v>
      </c>
      <c r="D968" s="603"/>
      <c r="E968" s="604"/>
      <c r="F968" s="604"/>
      <c r="G968" s="605">
        <f t="shared" si="747"/>
        <v>0</v>
      </c>
      <c r="H968" s="606"/>
      <c r="I968" s="620"/>
      <c r="J968" s="620"/>
      <c r="K968" s="621">
        <f t="shared" si="716"/>
        <v>0</v>
      </c>
      <c r="L968" s="137">
        <f t="shared" si="702"/>
        <v>0</v>
      </c>
      <c r="M968" s="622"/>
      <c r="N968" s="622"/>
      <c r="O968" s="622"/>
      <c r="P968" s="622"/>
      <c r="Q968" s="139">
        <f t="shared" si="731"/>
        <v>0</v>
      </c>
    </row>
    <row r="969" spans="1:17" s="66" customFormat="1" ht="12.75" hidden="1" customHeight="1">
      <c r="A969" s="601"/>
      <c r="B969" s="602"/>
      <c r="C969" s="593" t="s">
        <v>830</v>
      </c>
      <c r="D969" s="603"/>
      <c r="E969" s="604"/>
      <c r="F969" s="604"/>
      <c r="G969" s="605">
        <f t="shared" si="747"/>
        <v>0</v>
      </c>
      <c r="H969" s="606"/>
      <c r="I969" s="620"/>
      <c r="J969" s="620"/>
      <c r="K969" s="621">
        <f t="shared" si="716"/>
        <v>0</v>
      </c>
      <c r="L969" s="621">
        <f t="shared" si="702"/>
        <v>0</v>
      </c>
      <c r="M969" s="622"/>
      <c r="N969" s="622"/>
      <c r="O969" s="622"/>
      <c r="P969" s="622"/>
      <c r="Q969" s="139">
        <f t="shared" si="731"/>
        <v>0</v>
      </c>
    </row>
    <row r="970" spans="1:17" ht="12.75" hidden="1" customHeight="1">
      <c r="A970" s="392"/>
      <c r="B970" s="393"/>
      <c r="C970" s="394" t="s">
        <v>732</v>
      </c>
      <c r="D970" s="414"/>
      <c r="E970" s="555">
        <f>E968</f>
        <v>0</v>
      </c>
      <c r="F970" s="555">
        <f>F968</f>
        <v>0</v>
      </c>
      <c r="G970" s="690">
        <f t="shared" si="747"/>
        <v>0</v>
      </c>
      <c r="H970" s="391">
        <f>ROUND(F970*H$7,)</f>
        <v>0</v>
      </c>
      <c r="I970" s="447">
        <f>ROUND(G970*I$7,)</f>
        <v>0</v>
      </c>
      <c r="J970" s="447">
        <f>ROUND(H970*J$7,)</f>
        <v>0</v>
      </c>
      <c r="K970" s="137">
        <f>SUM(E970:G970)</f>
        <v>0</v>
      </c>
      <c r="L970" s="137">
        <f t="shared" si="702"/>
        <v>0</v>
      </c>
      <c r="M970" s="132"/>
      <c r="N970" s="132"/>
      <c r="O970" s="132"/>
      <c r="P970" s="132"/>
      <c r="Q970" s="139">
        <f t="shared" si="731"/>
        <v>0</v>
      </c>
    </row>
    <row r="971" spans="1:17" ht="12.75" hidden="1" customHeight="1">
      <c r="A971" s="392"/>
      <c r="B971" s="393"/>
      <c r="C971" s="394" t="s">
        <v>733</v>
      </c>
      <c r="D971" s="414"/>
      <c r="E971" s="396">
        <f>E969</f>
        <v>0</v>
      </c>
      <c r="F971" s="396">
        <f>F969</f>
        <v>0</v>
      </c>
      <c r="G971" s="397">
        <f t="shared" si="747"/>
        <v>0</v>
      </c>
      <c r="H971" s="399"/>
      <c r="I971" s="449"/>
      <c r="J971" s="449"/>
      <c r="K971" s="137">
        <f t="shared" si="716"/>
        <v>0</v>
      </c>
      <c r="L971" s="137">
        <f t="shared" si="702"/>
        <v>0</v>
      </c>
      <c r="M971" s="132"/>
      <c r="N971" s="132"/>
      <c r="O971" s="132"/>
      <c r="P971" s="132"/>
      <c r="Q971" s="139">
        <f t="shared" si="731"/>
        <v>0</v>
      </c>
    </row>
    <row r="972" spans="1:17" ht="12.75" customHeight="1">
      <c r="A972" s="371" t="s">
        <v>809</v>
      </c>
      <c r="B972" s="372"/>
      <c r="C972" s="373"/>
      <c r="D972" s="553" t="s">
        <v>921</v>
      </c>
      <c r="E972" s="519">
        <f t="shared" ref="E972:F972" si="748">SUM(E973)</f>
        <v>2743.4</v>
      </c>
      <c r="F972" s="519">
        <f t="shared" si="748"/>
        <v>0</v>
      </c>
      <c r="G972" s="704">
        <f t="shared" ref="G972" si="749">SUM(G973)</f>
        <v>2743.4</v>
      </c>
      <c r="H972" s="431">
        <f t="shared" ref="H972:J972" si="750">SUM(H973)</f>
        <v>0</v>
      </c>
      <c r="I972" s="456">
        <f t="shared" si="750"/>
        <v>0</v>
      </c>
      <c r="J972" s="456">
        <f t="shared" si="750"/>
        <v>0</v>
      </c>
      <c r="K972" s="137">
        <f t="shared" si="716"/>
        <v>5486.8</v>
      </c>
      <c r="L972" s="137">
        <f t="shared" si="702"/>
        <v>2743.4</v>
      </c>
      <c r="M972" s="132"/>
      <c r="N972" s="132"/>
      <c r="O972" s="132"/>
      <c r="P972" s="132"/>
      <c r="Q972" s="139">
        <f t="shared" si="731"/>
        <v>0</v>
      </c>
    </row>
    <row r="973" spans="1:17" ht="12.75" customHeight="1">
      <c r="A973" s="392"/>
      <c r="B973" s="393"/>
      <c r="C973" s="394" t="s">
        <v>733</v>
      </c>
      <c r="D973" s="414"/>
      <c r="E973" s="408">
        <v>2743.4</v>
      </c>
      <c r="F973" s="408"/>
      <c r="G973" s="397">
        <f>SUM(F973,E973)</f>
        <v>2743.4</v>
      </c>
      <c r="H973" s="611"/>
      <c r="I973" s="624"/>
      <c r="J973" s="624"/>
      <c r="K973" s="137">
        <f t="shared" si="716"/>
        <v>5486.8</v>
      </c>
      <c r="L973" s="137">
        <f t="shared" si="702"/>
        <v>2743.4</v>
      </c>
      <c r="M973" s="132"/>
      <c r="N973" s="132"/>
      <c r="O973" s="132"/>
      <c r="P973" s="132"/>
      <c r="Q973" s="139">
        <f t="shared" si="731"/>
        <v>0</v>
      </c>
    </row>
    <row r="974" spans="1:17" ht="12.75" customHeight="1">
      <c r="A974" s="350" t="s">
        <v>922</v>
      </c>
      <c r="B974" s="351"/>
      <c r="C974" s="352"/>
      <c r="D974" s="353"/>
      <c r="E974" s="369">
        <f>SUM(E978,E990,E981,E984,E993,E987)</f>
        <v>48261</v>
      </c>
      <c r="F974" s="369">
        <f t="shared" ref="F974:G974" si="751">SUM(F978,F990,F981,F984,F993,F987)</f>
        <v>0</v>
      </c>
      <c r="G974" s="370">
        <f t="shared" si="751"/>
        <v>48261</v>
      </c>
      <c r="H974" s="356">
        <f t="shared" ref="H974:J974" si="752">SUM(H978,H990,H981,H984,H993)</f>
        <v>0</v>
      </c>
      <c r="I974" s="442">
        <f t="shared" si="752"/>
        <v>4425</v>
      </c>
      <c r="J974" s="442">
        <f t="shared" si="752"/>
        <v>0</v>
      </c>
      <c r="K974" s="137">
        <f t="shared" si="716"/>
        <v>96522</v>
      </c>
      <c r="L974" s="137">
        <f t="shared" si="702"/>
        <v>48261</v>
      </c>
      <c r="M974" s="132"/>
      <c r="N974" s="132"/>
      <c r="O974" s="132"/>
      <c r="P974" s="132"/>
      <c r="Q974" s="139">
        <f t="shared" si="731"/>
        <v>0</v>
      </c>
    </row>
    <row r="975" spans="1:17" ht="12.75" customHeight="1">
      <c r="A975" s="432"/>
      <c r="B975" s="433" t="s">
        <v>756</v>
      </c>
      <c r="C975" s="434"/>
      <c r="D975" s="435"/>
      <c r="E975" s="436">
        <f t="shared" ref="E975:F975" si="753">SUM(E976:E977)</f>
        <v>48261</v>
      </c>
      <c r="F975" s="436">
        <f t="shared" si="753"/>
        <v>0</v>
      </c>
      <c r="G975" s="437">
        <f t="shared" ref="G975:J975" si="754">SUM(G976:G977)</f>
        <v>48261</v>
      </c>
      <c r="H975" s="438">
        <f t="shared" si="754"/>
        <v>0</v>
      </c>
      <c r="I975" s="457">
        <f t="shared" si="754"/>
        <v>4425</v>
      </c>
      <c r="J975" s="457">
        <f t="shared" si="754"/>
        <v>0</v>
      </c>
      <c r="K975" s="137">
        <f t="shared" si="716"/>
        <v>96522</v>
      </c>
      <c r="L975" s="137">
        <f t="shared" si="702"/>
        <v>48261</v>
      </c>
      <c r="M975" s="132"/>
      <c r="N975" s="132"/>
      <c r="O975" s="132"/>
      <c r="P975" s="132"/>
      <c r="Q975" s="139">
        <f t="shared" si="731"/>
        <v>0</v>
      </c>
    </row>
    <row r="976" spans="1:17" ht="12.75" hidden="1" customHeight="1">
      <c r="A976" s="459"/>
      <c r="B976" s="460" t="s">
        <v>732</v>
      </c>
      <c r="C976" s="461"/>
      <c r="D976" s="462"/>
      <c r="E976" s="716">
        <f>SUM(E979,E991,E982,E985,E988)</f>
        <v>0</v>
      </c>
      <c r="F976" s="716">
        <f t="shared" ref="F976" si="755">SUM(F979,F991,F982,F985)</f>
        <v>0</v>
      </c>
      <c r="G976" s="464">
        <f t="shared" ref="G976:J976" si="756">SUM(G979,G991,G982,G985)</f>
        <v>0</v>
      </c>
      <c r="H976" s="465">
        <f t="shared" si="756"/>
        <v>0</v>
      </c>
      <c r="I976" s="529">
        <f t="shared" si="756"/>
        <v>0</v>
      </c>
      <c r="J976" s="529">
        <f t="shared" si="756"/>
        <v>0</v>
      </c>
      <c r="K976" s="145">
        <f t="shared" si="716"/>
        <v>0</v>
      </c>
      <c r="L976" s="145">
        <f t="shared" si="702"/>
        <v>0</v>
      </c>
      <c r="M976" s="5"/>
      <c r="N976" s="5"/>
      <c r="O976" s="5"/>
      <c r="P976" s="5"/>
      <c r="Q976" s="139">
        <f t="shared" si="731"/>
        <v>0</v>
      </c>
    </row>
    <row r="977" spans="1:17" ht="12.75" customHeight="1">
      <c r="A977" s="432"/>
      <c r="B977" s="433" t="s">
        <v>733</v>
      </c>
      <c r="C977" s="434"/>
      <c r="D977" s="803"/>
      <c r="E977" s="436">
        <f>SUM(E980,E992,E983,E986,E994,E989)</f>
        <v>48261</v>
      </c>
      <c r="F977" s="436">
        <f t="shared" ref="F977:G977" si="757">SUM(F980,F992,F983,F986,F994,F989)</f>
        <v>0</v>
      </c>
      <c r="G977" s="437">
        <f t="shared" si="757"/>
        <v>48261</v>
      </c>
      <c r="H977" s="438">
        <f t="shared" ref="H977:J977" si="758">SUM(H980,H992,H983,H986,H994)</f>
        <v>0</v>
      </c>
      <c r="I977" s="457">
        <f t="shared" si="758"/>
        <v>4425</v>
      </c>
      <c r="J977" s="457">
        <f t="shared" si="758"/>
        <v>0</v>
      </c>
      <c r="K977" s="137">
        <f t="shared" si="716"/>
        <v>96522</v>
      </c>
      <c r="L977" s="137">
        <f t="shared" si="702"/>
        <v>48261</v>
      </c>
      <c r="M977" s="132"/>
      <c r="N977" s="132"/>
      <c r="O977" s="132"/>
      <c r="P977" s="132"/>
      <c r="Q977" s="139">
        <f t="shared" si="731"/>
        <v>0</v>
      </c>
    </row>
    <row r="978" spans="1:17" ht="38.25" customHeight="1">
      <c r="A978" s="960" t="s">
        <v>923</v>
      </c>
      <c r="B978" s="948"/>
      <c r="C978" s="948"/>
      <c r="D978" s="804" t="s">
        <v>924</v>
      </c>
      <c r="E978" s="375">
        <f t="shared" ref="E978:F978" si="759">SUM(E980,E979)</f>
        <v>27231.3</v>
      </c>
      <c r="F978" s="375">
        <f t="shared" si="759"/>
        <v>0</v>
      </c>
      <c r="G978" s="376">
        <f t="shared" ref="G978:J978" si="760">SUM(G980,G979)</f>
        <v>27231.3</v>
      </c>
      <c r="H978" s="478">
        <f t="shared" si="760"/>
        <v>0</v>
      </c>
      <c r="I978" s="531">
        <f t="shared" si="760"/>
        <v>0</v>
      </c>
      <c r="J978" s="531">
        <f t="shared" si="760"/>
        <v>0</v>
      </c>
      <c r="K978" s="137">
        <f t="shared" si="716"/>
        <v>54462.6</v>
      </c>
      <c r="L978" s="137">
        <f t="shared" si="702"/>
        <v>27231.3</v>
      </c>
      <c r="M978" s="132"/>
      <c r="N978" s="132"/>
      <c r="O978" s="132"/>
      <c r="P978" s="132"/>
      <c r="Q978" s="139">
        <f t="shared" si="731"/>
        <v>0</v>
      </c>
    </row>
    <row r="979" spans="1:17" ht="12.75" hidden="1" customHeight="1">
      <c r="A979" s="385"/>
      <c r="B979" s="386"/>
      <c r="C979" s="387" t="s">
        <v>732</v>
      </c>
      <c r="D979" s="388"/>
      <c r="E979" s="389"/>
      <c r="F979" s="389"/>
      <c r="G979" s="490">
        <f>SUM(F979,E979)</f>
        <v>0</v>
      </c>
      <c r="H979" s="391">
        <f>ROUND(F979*H$7,)</f>
        <v>0</v>
      </c>
      <c r="I979" s="447">
        <f>ROUND(G979*I$7,)</f>
        <v>0</v>
      </c>
      <c r="J979" s="447">
        <f>ROUND(H979*J$7,)</f>
        <v>0</v>
      </c>
      <c r="K979" s="145">
        <f t="shared" si="716"/>
        <v>0</v>
      </c>
      <c r="L979" s="145">
        <f t="shared" si="702"/>
        <v>0</v>
      </c>
      <c r="M979" s="5"/>
      <c r="N979" s="5"/>
      <c r="O979" s="5"/>
      <c r="P979" s="5"/>
      <c r="Q979" s="139">
        <f t="shared" si="731"/>
        <v>0</v>
      </c>
    </row>
    <row r="980" spans="1:17" ht="12.75" customHeight="1">
      <c r="A980" s="392"/>
      <c r="B980" s="393"/>
      <c r="C980" s="394" t="s">
        <v>733</v>
      </c>
      <c r="D980" s="395"/>
      <c r="E980" s="389">
        <v>27231.3</v>
      </c>
      <c r="F980" s="396"/>
      <c r="G980" s="690">
        <f>SUM(F980,E980)</f>
        <v>27231.3</v>
      </c>
      <c r="H980" s="399">
        <f>ROUND(F980*H$7,)</f>
        <v>0</v>
      </c>
      <c r="I980" s="449">
        <f>ROUND(F980*I$7,)</f>
        <v>0</v>
      </c>
      <c r="J980" s="449">
        <f>ROUND(F980*J$7,)</f>
        <v>0</v>
      </c>
      <c r="K980" s="137">
        <f t="shared" si="716"/>
        <v>54462.6</v>
      </c>
      <c r="L980" s="137">
        <f t="shared" si="702"/>
        <v>27231.3</v>
      </c>
      <c r="M980" s="132"/>
      <c r="N980" s="132"/>
      <c r="O980" s="132"/>
      <c r="P980" s="132"/>
      <c r="Q980" s="139">
        <f t="shared" si="731"/>
        <v>0</v>
      </c>
    </row>
    <row r="981" spans="1:17" ht="12.75" customHeight="1">
      <c r="A981" s="371" t="s">
        <v>925</v>
      </c>
      <c r="B981" s="372"/>
      <c r="C981" s="373"/>
      <c r="D981" s="428">
        <v>74025002</v>
      </c>
      <c r="E981" s="375">
        <f t="shared" ref="E981:F981" si="761">SUM(E982:E983)</f>
        <v>4012</v>
      </c>
      <c r="F981" s="375">
        <f t="shared" si="761"/>
        <v>0</v>
      </c>
      <c r="G981" s="484">
        <f t="shared" ref="G981" si="762">SUM(G982:G983)</f>
        <v>4012</v>
      </c>
      <c r="H981" s="478">
        <f>SUM(H983)</f>
        <v>0</v>
      </c>
      <c r="I981" s="531">
        <f>SUM(I983)</f>
        <v>4117</v>
      </c>
      <c r="J981" s="531">
        <f>SUM(J983)</f>
        <v>0</v>
      </c>
      <c r="K981" s="145">
        <f t="shared" si="716"/>
        <v>8024</v>
      </c>
      <c r="L981" s="145">
        <f t="shared" si="702"/>
        <v>4012</v>
      </c>
      <c r="M981" s="5"/>
      <c r="N981" s="5"/>
      <c r="O981" s="5"/>
      <c r="P981" s="5"/>
      <c r="Q981" s="139">
        <f t="shared" si="731"/>
        <v>0</v>
      </c>
    </row>
    <row r="982" spans="1:17" ht="12.75" hidden="1" customHeight="1">
      <c r="A982" s="385"/>
      <c r="B982" s="386"/>
      <c r="C982" s="387" t="s">
        <v>732</v>
      </c>
      <c r="D982" s="388"/>
      <c r="E982" s="389"/>
      <c r="F982" s="389"/>
      <c r="G982" s="390">
        <f>SUM(F982,E982)</f>
        <v>0</v>
      </c>
      <c r="H982" s="391">
        <f t="shared" ref="H982:J983" si="763">ROUND(F982*H$7,)</f>
        <v>0</v>
      </c>
      <c r="I982" s="447">
        <f t="shared" si="763"/>
        <v>0</v>
      </c>
      <c r="J982" s="447">
        <f t="shared" si="763"/>
        <v>0</v>
      </c>
      <c r="K982" s="145">
        <f t="shared" si="716"/>
        <v>0</v>
      </c>
      <c r="L982" s="145">
        <f t="shared" si="702"/>
        <v>0</v>
      </c>
      <c r="M982" s="5"/>
      <c r="N982" s="5"/>
      <c r="O982" s="5"/>
      <c r="P982" s="5"/>
      <c r="Q982" s="139">
        <f t="shared" si="731"/>
        <v>0</v>
      </c>
    </row>
    <row r="983" spans="1:17" ht="12.75" customHeight="1">
      <c r="A983" s="392"/>
      <c r="B983" s="393"/>
      <c r="C983" s="394" t="s">
        <v>733</v>
      </c>
      <c r="D983" s="388"/>
      <c r="E983" s="396">
        <v>4012</v>
      </c>
      <c r="F983" s="396"/>
      <c r="G983" s="390">
        <f t="shared" ref="G983:G989" si="764">SUM(F983,E983)</f>
        <v>4012</v>
      </c>
      <c r="H983" s="399">
        <f t="shared" si="763"/>
        <v>0</v>
      </c>
      <c r="I983" s="449">
        <f t="shared" si="763"/>
        <v>4117</v>
      </c>
      <c r="J983" s="449">
        <f t="shared" si="763"/>
        <v>0</v>
      </c>
      <c r="K983" s="145">
        <f t="shared" si="716"/>
        <v>8024</v>
      </c>
      <c r="L983" s="145">
        <f t="shared" si="702"/>
        <v>4012</v>
      </c>
      <c r="M983" s="5"/>
      <c r="N983" s="5"/>
      <c r="O983" s="5"/>
      <c r="P983" s="5"/>
      <c r="Q983" s="139">
        <f t="shared" si="731"/>
        <v>0</v>
      </c>
    </row>
    <row r="984" spans="1:17" ht="12.75" customHeight="1">
      <c r="A984" s="371" t="s">
        <v>926</v>
      </c>
      <c r="B984" s="372"/>
      <c r="C984" s="373"/>
      <c r="D984" s="557">
        <v>74025001</v>
      </c>
      <c r="E984" s="375">
        <f t="shared" ref="E984:F984" si="765">SUM(E986,E985)</f>
        <v>14958.7</v>
      </c>
      <c r="F984" s="375">
        <f t="shared" si="765"/>
        <v>0</v>
      </c>
      <c r="G984" s="376">
        <f t="shared" ref="G984:J984" si="766">SUM(G986,G985)</f>
        <v>14958.7</v>
      </c>
      <c r="H984" s="377">
        <f t="shared" si="766"/>
        <v>0</v>
      </c>
      <c r="I984" s="445">
        <f t="shared" si="766"/>
        <v>0</v>
      </c>
      <c r="J984" s="445">
        <f t="shared" si="766"/>
        <v>0</v>
      </c>
      <c r="K984" s="137">
        <f t="shared" si="716"/>
        <v>29917.4</v>
      </c>
      <c r="L984" s="137">
        <f t="shared" si="702"/>
        <v>14958.7</v>
      </c>
      <c r="M984" s="132"/>
      <c r="N984" s="132"/>
      <c r="O984" s="132"/>
      <c r="P984" s="132"/>
      <c r="Q984" s="139">
        <f t="shared" si="731"/>
        <v>0</v>
      </c>
    </row>
    <row r="985" spans="1:17" ht="12.75" hidden="1" customHeight="1">
      <c r="A985" s="385"/>
      <c r="B985" s="386"/>
      <c r="C985" s="387" t="s">
        <v>732</v>
      </c>
      <c r="D985" s="388"/>
      <c r="E985" s="406"/>
      <c r="F985" s="406"/>
      <c r="G985" s="390">
        <f t="shared" si="764"/>
        <v>0</v>
      </c>
      <c r="H985" s="391">
        <f t="shared" ref="H985:H989" si="767">ROUND(F985*H$7,)</f>
        <v>0</v>
      </c>
      <c r="I985" s="447">
        <f t="shared" ref="I985:I989" si="768">ROUND(G985*I$7,)</f>
        <v>0</v>
      </c>
      <c r="J985" s="447">
        <f t="shared" ref="J985:J989" si="769">ROUND(H985*J$7,)</f>
        <v>0</v>
      </c>
      <c r="K985" s="145">
        <f t="shared" si="716"/>
        <v>0</v>
      </c>
      <c r="L985" s="145">
        <f t="shared" si="702"/>
        <v>0</v>
      </c>
      <c r="M985" s="5"/>
      <c r="N985" s="5"/>
      <c r="O985" s="5"/>
      <c r="P985" s="5"/>
      <c r="Q985" s="139">
        <f t="shared" si="731"/>
        <v>0</v>
      </c>
    </row>
    <row r="986" spans="1:17" ht="12.75" customHeight="1">
      <c r="A986" s="392"/>
      <c r="B986" s="393"/>
      <c r="C986" s="394" t="s">
        <v>733</v>
      </c>
      <c r="D986" s="403"/>
      <c r="E986" s="396">
        <v>14958.7</v>
      </c>
      <c r="F986" s="396"/>
      <c r="G986" s="397">
        <f t="shared" si="764"/>
        <v>14958.7</v>
      </c>
      <c r="H986" s="399">
        <f t="shared" si="767"/>
        <v>0</v>
      </c>
      <c r="I986" s="449">
        <f>ROUND(F986*I$7,)</f>
        <v>0</v>
      </c>
      <c r="J986" s="449">
        <f>ROUND(F986*J$7,)</f>
        <v>0</v>
      </c>
      <c r="K986" s="137">
        <f t="shared" si="716"/>
        <v>29917.4</v>
      </c>
      <c r="L986" s="137">
        <f t="shared" si="702"/>
        <v>14958.7</v>
      </c>
      <c r="M986" s="132"/>
      <c r="N986" s="132"/>
      <c r="O986" s="132"/>
      <c r="P986" s="132"/>
      <c r="Q986" s="139">
        <f t="shared" si="731"/>
        <v>0</v>
      </c>
    </row>
    <row r="987" spans="1:17" ht="38.25" customHeight="1">
      <c r="A987" s="960" t="s">
        <v>927</v>
      </c>
      <c r="B987" s="948"/>
      <c r="C987" s="948"/>
      <c r="D987" s="805" t="s">
        <v>928</v>
      </c>
      <c r="E987" s="519">
        <f t="shared" ref="E987:J987" si="770">SUM(E989,E988)</f>
        <v>1759</v>
      </c>
      <c r="F987" s="519">
        <f t="shared" si="770"/>
        <v>0</v>
      </c>
      <c r="G987" s="704">
        <f t="shared" si="770"/>
        <v>1759</v>
      </c>
      <c r="H987" s="559">
        <f t="shared" si="770"/>
        <v>0</v>
      </c>
      <c r="I987" s="573">
        <f t="shared" si="770"/>
        <v>1805</v>
      </c>
      <c r="J987" s="573">
        <f t="shared" si="770"/>
        <v>0</v>
      </c>
      <c r="K987" s="137">
        <f t="shared" ref="K987:K989" si="771">SUM(E987:G987)</f>
        <v>3518</v>
      </c>
      <c r="L987" s="137" t="str">
        <f>A987</f>
        <v>,,Green Cross-border Region”, acronim GCBR</v>
      </c>
      <c r="M987" s="132"/>
      <c r="N987" s="132"/>
      <c r="O987" s="132"/>
      <c r="P987" s="132"/>
      <c r="Q987" s="139">
        <f t="shared" si="731"/>
        <v>0</v>
      </c>
    </row>
    <row r="988" spans="1:17" ht="12.75" hidden="1" customHeight="1">
      <c r="A988" s="385"/>
      <c r="B988" s="386"/>
      <c r="C988" s="387" t="s">
        <v>732</v>
      </c>
      <c r="D988" s="388"/>
      <c r="E988" s="389"/>
      <c r="F988" s="389"/>
      <c r="G988" s="390">
        <f t="shared" si="764"/>
        <v>0</v>
      </c>
      <c r="H988" s="391">
        <f t="shared" si="767"/>
        <v>0</v>
      </c>
      <c r="I988" s="447">
        <f t="shared" si="768"/>
        <v>0</v>
      </c>
      <c r="J988" s="447">
        <f t="shared" si="769"/>
        <v>0</v>
      </c>
      <c r="K988" s="145">
        <f t="shared" si="771"/>
        <v>0</v>
      </c>
      <c r="L988" s="145">
        <f>IF(G988&lt;&gt;0,G988,0)</f>
        <v>0</v>
      </c>
      <c r="M988" s="5"/>
      <c r="N988" s="5"/>
      <c r="O988" s="5"/>
      <c r="P988" s="5"/>
      <c r="Q988" s="139">
        <f t="shared" si="731"/>
        <v>0</v>
      </c>
    </row>
    <row r="989" spans="1:17" ht="12.75" customHeight="1">
      <c r="A989" s="392"/>
      <c r="B989" s="393"/>
      <c r="C989" s="394" t="s">
        <v>733</v>
      </c>
      <c r="D989" s="388"/>
      <c r="E989" s="408">
        <v>1759</v>
      </c>
      <c r="F989" s="408"/>
      <c r="G989" s="397">
        <f t="shared" si="764"/>
        <v>1759</v>
      </c>
      <c r="H989" s="391">
        <f t="shared" si="767"/>
        <v>0</v>
      </c>
      <c r="I989" s="447">
        <f t="shared" si="768"/>
        <v>1805</v>
      </c>
      <c r="J989" s="447">
        <f t="shared" si="769"/>
        <v>0</v>
      </c>
      <c r="K989" s="137">
        <f t="shared" si="771"/>
        <v>3518</v>
      </c>
      <c r="L989" s="137" t="str">
        <f>C989</f>
        <v>Secţiunea de dezvoltare</v>
      </c>
      <c r="M989" s="132"/>
      <c r="N989" s="132"/>
      <c r="O989" s="132"/>
      <c r="P989" s="132"/>
      <c r="Q989" s="139">
        <f>E989-G989</f>
        <v>0</v>
      </c>
    </row>
    <row r="990" spans="1:17" ht="14.25" customHeight="1">
      <c r="A990" s="960" t="s">
        <v>929</v>
      </c>
      <c r="B990" s="948"/>
      <c r="C990" s="948"/>
      <c r="D990" s="805" t="s">
        <v>993</v>
      </c>
      <c r="E990" s="519">
        <f t="shared" ref="E990:F990" si="772">SUM(E992,E991)</f>
        <v>300</v>
      </c>
      <c r="F990" s="519">
        <f t="shared" si="772"/>
        <v>0</v>
      </c>
      <c r="G990" s="704">
        <f t="shared" ref="G990:J990" si="773">SUM(G992,G991)</f>
        <v>300</v>
      </c>
      <c r="H990" s="559">
        <f t="shared" si="773"/>
        <v>0</v>
      </c>
      <c r="I990" s="573">
        <f t="shared" si="773"/>
        <v>308</v>
      </c>
      <c r="J990" s="573">
        <f t="shared" si="773"/>
        <v>0</v>
      </c>
      <c r="K990" s="137">
        <f t="shared" ref="K990:K1011" si="774">SUM(E990:G990)</f>
        <v>600</v>
      </c>
      <c r="L990" s="137" t="str">
        <f>A990</f>
        <v>Climate Synergy</v>
      </c>
      <c r="M990" s="132"/>
      <c r="N990" s="132"/>
      <c r="O990" s="132"/>
      <c r="P990" s="132"/>
      <c r="Q990" s="139">
        <f>E990-G990</f>
        <v>0</v>
      </c>
    </row>
    <row r="991" spans="1:17" ht="12.75" hidden="1" customHeight="1">
      <c r="A991" s="385"/>
      <c r="B991" s="386"/>
      <c r="C991" s="387" t="s">
        <v>732</v>
      </c>
      <c r="D991" s="388"/>
      <c r="E991" s="389"/>
      <c r="F991" s="389"/>
      <c r="G991" s="390">
        <f>SUM(F991,E991)</f>
        <v>0</v>
      </c>
      <c r="H991" s="391">
        <f t="shared" ref="H991:J992" si="775">ROUND(F991*H$7,)</f>
        <v>0</v>
      </c>
      <c r="I991" s="447">
        <f t="shared" si="775"/>
        <v>0</v>
      </c>
      <c r="J991" s="447">
        <f t="shared" si="775"/>
        <v>0</v>
      </c>
      <c r="K991" s="145">
        <f t="shared" si="774"/>
        <v>0</v>
      </c>
      <c r="L991" s="145">
        <f>IF(G991&lt;&gt;0,G991,0)</f>
        <v>0</v>
      </c>
      <c r="M991" s="5"/>
      <c r="N991" s="5"/>
      <c r="O991" s="5"/>
      <c r="P991" s="5"/>
      <c r="Q991" s="139">
        <f>E991-G991</f>
        <v>0</v>
      </c>
    </row>
    <row r="992" spans="1:17" ht="12.75" customHeight="1">
      <c r="A992" s="392"/>
      <c r="B992" s="393"/>
      <c r="C992" s="394" t="s">
        <v>733</v>
      </c>
      <c r="D992" s="388"/>
      <c r="E992" s="408">
        <v>300</v>
      </c>
      <c r="F992" s="408"/>
      <c r="G992" s="397">
        <f>SUM(F992,E992)</f>
        <v>300</v>
      </c>
      <c r="H992" s="391">
        <f t="shared" si="775"/>
        <v>0</v>
      </c>
      <c r="I992" s="447">
        <f t="shared" si="775"/>
        <v>308</v>
      </c>
      <c r="J992" s="447">
        <f t="shared" si="775"/>
        <v>0</v>
      </c>
      <c r="K992" s="137">
        <f t="shared" si="774"/>
        <v>600</v>
      </c>
      <c r="L992" s="137" t="str">
        <f>C992</f>
        <v>Secţiunea de dezvoltare</v>
      </c>
      <c r="M992" s="132"/>
      <c r="N992" s="132"/>
      <c r="O992" s="132"/>
      <c r="P992" s="132"/>
      <c r="Q992" s="139">
        <f t="shared" ref="Q992:Q1056" si="776">E992-G992</f>
        <v>0</v>
      </c>
    </row>
    <row r="993" spans="1:17" ht="12.75" hidden="1" customHeight="1">
      <c r="A993" s="425" t="s">
        <v>742</v>
      </c>
      <c r="B993" s="426"/>
      <c r="C993" s="427"/>
      <c r="D993" s="428"/>
      <c r="E993" s="429">
        <f t="shared" ref="E993:F993" si="777">SUM(E994)</f>
        <v>0</v>
      </c>
      <c r="F993" s="429">
        <f t="shared" si="777"/>
        <v>0</v>
      </c>
      <c r="G993" s="430">
        <f t="shared" ref="G993:J993" si="778">SUM(G994)</f>
        <v>0</v>
      </c>
      <c r="H993" s="470">
        <f t="shared" si="778"/>
        <v>0</v>
      </c>
      <c r="I993" s="530">
        <f t="shared" si="778"/>
        <v>0</v>
      </c>
      <c r="J993" s="530">
        <f t="shared" si="778"/>
        <v>0</v>
      </c>
      <c r="K993" s="145">
        <f t="shared" si="774"/>
        <v>0</v>
      </c>
      <c r="L993" s="145">
        <f t="shared" ref="L993:L1011" si="779">IF(G993&lt;&gt;0,G993,0)</f>
        <v>0</v>
      </c>
      <c r="M993" s="5"/>
      <c r="N993" s="5"/>
      <c r="O993" s="5"/>
      <c r="P993" s="5"/>
      <c r="Q993" s="139">
        <f t="shared" si="776"/>
        <v>0</v>
      </c>
    </row>
    <row r="994" spans="1:17" ht="12.75" hidden="1" customHeight="1">
      <c r="A994" s="385"/>
      <c r="B994" s="386"/>
      <c r="C994" s="387" t="s">
        <v>733</v>
      </c>
      <c r="D994" s="388"/>
      <c r="E994" s="415"/>
      <c r="F994" s="415"/>
      <c r="G994" s="717">
        <f>SUM(F994,E994)</f>
        <v>0</v>
      </c>
      <c r="H994" s="611"/>
      <c r="I994" s="624"/>
      <c r="J994" s="624"/>
      <c r="K994" s="145">
        <f t="shared" si="774"/>
        <v>0</v>
      </c>
      <c r="L994" s="145">
        <f t="shared" si="779"/>
        <v>0</v>
      </c>
      <c r="M994" s="5"/>
      <c r="N994" s="5"/>
      <c r="O994" s="5"/>
      <c r="P994" s="5"/>
      <c r="Q994" s="139">
        <f t="shared" si="776"/>
        <v>0</v>
      </c>
    </row>
    <row r="995" spans="1:17" ht="12.75" customHeight="1">
      <c r="A995" s="350" t="s">
        <v>930</v>
      </c>
      <c r="B995" s="351"/>
      <c r="C995" s="352"/>
      <c r="D995" s="806"/>
      <c r="E995" s="369">
        <f t="shared" ref="E995:F995" si="780">SUM(E1000,E1040,E996)</f>
        <v>172216.73</v>
      </c>
      <c r="F995" s="369">
        <f t="shared" si="780"/>
        <v>0</v>
      </c>
      <c r="G995" s="370">
        <f t="shared" ref="G995:J995" si="781">SUM(G1000,G1040,G996)</f>
        <v>172216.73</v>
      </c>
      <c r="H995" s="356">
        <f t="shared" si="781"/>
        <v>0</v>
      </c>
      <c r="I995" s="442">
        <f t="shared" si="781"/>
        <v>15648</v>
      </c>
      <c r="J995" s="442">
        <f t="shared" si="781"/>
        <v>0</v>
      </c>
      <c r="K995" s="137">
        <f t="shared" si="774"/>
        <v>344433.46</v>
      </c>
      <c r="L995" s="137">
        <f t="shared" si="779"/>
        <v>172216.73</v>
      </c>
      <c r="M995" s="132"/>
      <c r="N995" s="132"/>
      <c r="O995" s="132"/>
      <c r="P995" s="132"/>
      <c r="Q995" s="139">
        <f t="shared" si="776"/>
        <v>0</v>
      </c>
    </row>
    <row r="996" spans="1:17" ht="12.75" hidden="1" customHeight="1">
      <c r="A996" s="718" t="s">
        <v>931</v>
      </c>
      <c r="B996" s="719"/>
      <c r="C996" s="720"/>
      <c r="D996" s="721"/>
      <c r="E996" s="722">
        <f t="shared" ref="E996:F996" si="782">SUM(E997:E998)</f>
        <v>0</v>
      </c>
      <c r="F996" s="722">
        <f t="shared" si="782"/>
        <v>0</v>
      </c>
      <c r="G996" s="723">
        <f t="shared" ref="G996:J996" si="783">SUM(G997:G998)</f>
        <v>0</v>
      </c>
      <c r="H996" s="356">
        <f t="shared" si="783"/>
        <v>0</v>
      </c>
      <c r="I996" s="442">
        <f t="shared" si="783"/>
        <v>0</v>
      </c>
      <c r="J996" s="442">
        <f t="shared" si="783"/>
        <v>0</v>
      </c>
      <c r="K996" s="145">
        <f t="shared" si="774"/>
        <v>0</v>
      </c>
      <c r="L996" s="145">
        <f t="shared" si="779"/>
        <v>0</v>
      </c>
      <c r="M996" s="5"/>
      <c r="N996" s="5"/>
      <c r="O996" s="5"/>
      <c r="P996" s="5"/>
      <c r="Q996" s="139">
        <f t="shared" si="776"/>
        <v>0</v>
      </c>
    </row>
    <row r="997" spans="1:17" ht="12.75" hidden="1" customHeight="1">
      <c r="A997" s="485"/>
      <c r="B997" s="486" t="s">
        <v>732</v>
      </c>
      <c r="C997" s="487"/>
      <c r="D997" s="488"/>
      <c r="E997" s="724"/>
      <c r="F997" s="724"/>
      <c r="G997" s="490">
        <f>SUM(F997,E997)</f>
        <v>0</v>
      </c>
      <c r="H997" s="642"/>
      <c r="I997" s="652"/>
      <c r="J997" s="652"/>
      <c r="K997" s="145">
        <f t="shared" si="774"/>
        <v>0</v>
      </c>
      <c r="L997" s="145">
        <f t="shared" si="779"/>
        <v>0</v>
      </c>
      <c r="M997" s="5"/>
      <c r="N997" s="5"/>
      <c r="O997" s="5"/>
      <c r="P997" s="5"/>
      <c r="Q997" s="139">
        <f t="shared" si="776"/>
        <v>0</v>
      </c>
    </row>
    <row r="998" spans="1:17" ht="12.75" hidden="1" customHeight="1">
      <c r="A998" s="485"/>
      <c r="B998" s="486" t="s">
        <v>733</v>
      </c>
      <c r="C998" s="487"/>
      <c r="D998" s="488"/>
      <c r="E998" s="489"/>
      <c r="F998" s="489"/>
      <c r="G998" s="490">
        <f>SUM(F998,E998)</f>
        <v>0</v>
      </c>
      <c r="H998" s="691">
        <f>ROUND(F998*H$7,)</f>
        <v>0</v>
      </c>
      <c r="I998" s="711">
        <f>ROUND(G998*I$7,)</f>
        <v>0</v>
      </c>
      <c r="J998" s="711">
        <f>ROUND(H998*J$7,)</f>
        <v>0</v>
      </c>
      <c r="K998" s="145">
        <f t="shared" si="774"/>
        <v>0</v>
      </c>
      <c r="L998" s="145">
        <f t="shared" si="779"/>
        <v>0</v>
      </c>
      <c r="M998" s="5"/>
      <c r="N998" s="5"/>
      <c r="O998" s="5"/>
      <c r="P998" s="5"/>
      <c r="Q998" s="139">
        <f t="shared" si="776"/>
        <v>0</v>
      </c>
    </row>
    <row r="999" spans="1:17" ht="12.75" hidden="1" customHeight="1">
      <c r="A999" s="479" t="s">
        <v>932</v>
      </c>
      <c r="B999" s="480"/>
      <c r="C999" s="481"/>
      <c r="D999" s="482"/>
      <c r="E999" s="483">
        <f t="shared" ref="E999:F999" si="784">SUM(E997:E998)</f>
        <v>0</v>
      </c>
      <c r="F999" s="483">
        <f t="shared" si="784"/>
        <v>0</v>
      </c>
      <c r="G999" s="484">
        <f t="shared" ref="G999:J999" si="785">SUM(G997:G998)</f>
        <v>0</v>
      </c>
      <c r="H999" s="627">
        <f t="shared" si="785"/>
        <v>0</v>
      </c>
      <c r="I999" s="648">
        <f t="shared" si="785"/>
        <v>0</v>
      </c>
      <c r="J999" s="648">
        <f t="shared" si="785"/>
        <v>0</v>
      </c>
      <c r="K999" s="145">
        <f t="shared" si="774"/>
        <v>0</v>
      </c>
      <c r="L999" s="145">
        <f t="shared" si="779"/>
        <v>0</v>
      </c>
      <c r="M999" s="5"/>
      <c r="N999" s="5"/>
      <c r="O999" s="5"/>
      <c r="P999" s="5"/>
      <c r="Q999" s="139">
        <f t="shared" si="776"/>
        <v>0</v>
      </c>
    </row>
    <row r="1000" spans="1:17" ht="12.75" customHeight="1">
      <c r="A1000" s="350" t="s">
        <v>933</v>
      </c>
      <c r="B1000" s="351"/>
      <c r="C1000" s="352"/>
      <c r="D1000" s="353"/>
      <c r="E1000" s="369">
        <f>SUM(E1004,E1033,)</f>
        <v>172216.73</v>
      </c>
      <c r="F1000" s="369">
        <f>SUM(F1004,F1033,)</f>
        <v>0</v>
      </c>
      <c r="G1000" s="370">
        <f>SUM(G1004,G1033,)</f>
        <v>172216.73</v>
      </c>
      <c r="H1000" s="356">
        <f>SUM(H1004,H1033,H1037)</f>
        <v>0</v>
      </c>
      <c r="I1000" s="442">
        <f>SUM(I1004,I1033,I1037)</f>
        <v>15648</v>
      </c>
      <c r="J1000" s="442">
        <f>SUM(J1004,J1033,J1037)</f>
        <v>0</v>
      </c>
      <c r="K1000" s="137">
        <f t="shared" si="774"/>
        <v>344433.46</v>
      </c>
      <c r="L1000" s="137">
        <f t="shared" si="779"/>
        <v>172216.73</v>
      </c>
      <c r="M1000" s="132"/>
      <c r="N1000" s="132"/>
      <c r="O1000" s="132"/>
      <c r="P1000" s="132"/>
      <c r="Q1000" s="139">
        <f t="shared" si="776"/>
        <v>0</v>
      </c>
    </row>
    <row r="1001" spans="1:17" ht="12.75" customHeight="1">
      <c r="A1001" s="432"/>
      <c r="B1001" s="433" t="s">
        <v>756</v>
      </c>
      <c r="C1001" s="434"/>
      <c r="D1001" s="435"/>
      <c r="E1001" s="436">
        <f t="shared" ref="E1001:G1001" si="786">SUM(E1002:E1003)</f>
        <v>172216.73</v>
      </c>
      <c r="F1001" s="436">
        <f t="shared" si="786"/>
        <v>0</v>
      </c>
      <c r="G1001" s="437">
        <f t="shared" si="786"/>
        <v>172216.73</v>
      </c>
      <c r="H1001" s="438">
        <f t="shared" ref="H1001:J1001" si="787">SUM(H1002:H1003)</f>
        <v>0</v>
      </c>
      <c r="I1001" s="457">
        <f t="shared" si="787"/>
        <v>4105</v>
      </c>
      <c r="J1001" s="457">
        <f t="shared" si="787"/>
        <v>0</v>
      </c>
      <c r="K1001" s="137">
        <f t="shared" si="774"/>
        <v>344433.46</v>
      </c>
      <c r="L1001" s="137">
        <f t="shared" si="779"/>
        <v>172216.73</v>
      </c>
      <c r="M1001" s="132"/>
      <c r="N1001" s="132"/>
      <c r="O1001" s="132"/>
      <c r="P1001" s="132"/>
      <c r="Q1001" s="139">
        <f t="shared" si="776"/>
        <v>0</v>
      </c>
    </row>
    <row r="1002" spans="1:17" ht="12.75" customHeight="1">
      <c r="A1002" s="432"/>
      <c r="B1002" s="433" t="s">
        <v>732</v>
      </c>
      <c r="C1002" s="434"/>
      <c r="D1002" s="435"/>
      <c r="E1002" s="436">
        <f>SUM(E1008,E1035,E1038,E1027)</f>
        <v>32162</v>
      </c>
      <c r="F1002" s="436">
        <f>SUM(F1008,F1035,F1038,F1027)</f>
        <v>0</v>
      </c>
      <c r="G1002" s="437">
        <f>SUM(G1008,G1035,G1038,G1027)</f>
        <v>32162</v>
      </c>
      <c r="H1002" s="438">
        <f>SUM(H1008,H1035,H1038)</f>
        <v>0</v>
      </c>
      <c r="I1002" s="457">
        <f>SUM(I1008,I1035,I1038)</f>
        <v>0</v>
      </c>
      <c r="J1002" s="457">
        <f>SUM(J1008,J1035,J1038)</f>
        <v>0</v>
      </c>
      <c r="K1002" s="137">
        <f t="shared" si="774"/>
        <v>64324</v>
      </c>
      <c r="L1002" s="137">
        <f t="shared" si="779"/>
        <v>32162</v>
      </c>
      <c r="M1002" s="132"/>
      <c r="N1002" s="132"/>
      <c r="O1002" s="132"/>
      <c r="P1002" s="132"/>
      <c r="Q1002" s="139">
        <f t="shared" si="776"/>
        <v>0</v>
      </c>
    </row>
    <row r="1003" spans="1:17" ht="12.75" customHeight="1">
      <c r="A1003" s="432"/>
      <c r="B1003" s="433" t="s">
        <v>733</v>
      </c>
      <c r="C1003" s="434"/>
      <c r="D1003" s="435"/>
      <c r="E1003" s="436">
        <f>SUM(E1014,E1028,E1036,E1032,E1030,E1039)</f>
        <v>140054.73000000001</v>
      </c>
      <c r="F1003" s="436">
        <f>SUM(F1014,F1028,F1036,F1032,F1030,F1039)</f>
        <v>0</v>
      </c>
      <c r="G1003" s="437">
        <f>SUM(G1014,G1028,G1036,G1032,G1030,G1039)</f>
        <v>140054.73000000001</v>
      </c>
      <c r="H1003" s="438">
        <f t="shared" ref="H1003:J1003" si="788">SUM(H1014,H1028,H1036,H1032,H1030,H1039)</f>
        <v>0</v>
      </c>
      <c r="I1003" s="457">
        <f t="shared" si="788"/>
        <v>4105</v>
      </c>
      <c r="J1003" s="457">
        <f t="shared" si="788"/>
        <v>0</v>
      </c>
      <c r="K1003" s="137">
        <f t="shared" si="774"/>
        <v>280109.46000000002</v>
      </c>
      <c r="L1003" s="137">
        <f t="shared" si="779"/>
        <v>140054.73000000001</v>
      </c>
      <c r="M1003" s="132"/>
      <c r="N1003" s="132"/>
      <c r="O1003" s="132"/>
      <c r="P1003" s="132"/>
      <c r="Q1003" s="139">
        <f t="shared" si="776"/>
        <v>0</v>
      </c>
    </row>
    <row r="1004" spans="1:17" ht="12.75" customHeight="1">
      <c r="A1004" s="475" t="s">
        <v>934</v>
      </c>
      <c r="B1004" s="476"/>
      <c r="C1004" s="477"/>
      <c r="D1004" s="374"/>
      <c r="E1004" s="375">
        <f t="shared" ref="E1004:F1004" si="789">SUM(E1005)</f>
        <v>156968.63</v>
      </c>
      <c r="F1004" s="375">
        <f t="shared" si="789"/>
        <v>0</v>
      </c>
      <c r="G1004" s="376">
        <f t="shared" ref="G1004:J1004" si="790">SUM(G1005)</f>
        <v>156968.63</v>
      </c>
      <c r="H1004" s="377">
        <f t="shared" si="790"/>
        <v>0</v>
      </c>
      <c r="I1004" s="445">
        <f t="shared" si="790"/>
        <v>0</v>
      </c>
      <c r="J1004" s="445">
        <f t="shared" si="790"/>
        <v>0</v>
      </c>
      <c r="K1004" s="137">
        <f t="shared" si="774"/>
        <v>313937.26</v>
      </c>
      <c r="L1004" s="137">
        <f t="shared" si="779"/>
        <v>156968.63</v>
      </c>
      <c r="M1004" s="132"/>
      <c r="N1004" s="132"/>
      <c r="O1004" s="132"/>
      <c r="P1004" s="132"/>
      <c r="Q1004" s="139">
        <f t="shared" si="776"/>
        <v>0</v>
      </c>
    </row>
    <row r="1005" spans="1:17" ht="12.75" customHeight="1">
      <c r="A1005" s="378" t="s">
        <v>935</v>
      </c>
      <c r="B1005" s="379"/>
      <c r="C1005" s="380"/>
      <c r="D1005" s="381">
        <v>84020301</v>
      </c>
      <c r="E1005" s="382">
        <f t="shared" ref="E1005:F1005" si="791">SUM(E1007,E1018,E1029,E1031)</f>
        <v>156968.63</v>
      </c>
      <c r="F1005" s="382">
        <f t="shared" si="791"/>
        <v>0</v>
      </c>
      <c r="G1005" s="383">
        <f t="shared" ref="G1005:J1005" si="792">SUM(G1007,G1018,G1029,G1031)</f>
        <v>156968.63</v>
      </c>
      <c r="H1005" s="384">
        <f t="shared" si="792"/>
        <v>0</v>
      </c>
      <c r="I1005" s="446">
        <f t="shared" si="792"/>
        <v>0</v>
      </c>
      <c r="J1005" s="446">
        <f t="shared" si="792"/>
        <v>0</v>
      </c>
      <c r="K1005" s="137">
        <f t="shared" si="774"/>
        <v>313937.26</v>
      </c>
      <c r="L1005" s="137">
        <f t="shared" si="779"/>
        <v>156968.63</v>
      </c>
      <c r="M1005" s="132"/>
      <c r="N1005" s="132"/>
      <c r="O1005" s="132"/>
      <c r="P1005" s="132"/>
      <c r="Q1005" s="139">
        <f t="shared" si="776"/>
        <v>0</v>
      </c>
    </row>
    <row r="1006" spans="1:17" ht="12.75" hidden="1" customHeight="1">
      <c r="A1006" s="385" t="s">
        <v>743</v>
      </c>
      <c r="B1006" s="386"/>
      <c r="C1006" s="387"/>
      <c r="D1006" s="388"/>
      <c r="E1006" s="389"/>
      <c r="F1006" s="389"/>
      <c r="G1006" s="390"/>
      <c r="H1006" s="391">
        <f>ROUND(F1006*H$7,)</f>
        <v>0</v>
      </c>
      <c r="I1006" s="447">
        <f>ROUND(G1006*I$7,)</f>
        <v>0</v>
      </c>
      <c r="J1006" s="447">
        <f>ROUND(H1006*J$7,)</f>
        <v>0</v>
      </c>
      <c r="K1006" s="145">
        <f t="shared" si="774"/>
        <v>0</v>
      </c>
      <c r="L1006" s="145">
        <f t="shared" si="779"/>
        <v>0</v>
      </c>
      <c r="M1006" s="5"/>
      <c r="N1006" s="5"/>
      <c r="O1006" s="5"/>
      <c r="P1006" s="5"/>
      <c r="Q1006" s="139">
        <f t="shared" si="776"/>
        <v>0</v>
      </c>
    </row>
    <row r="1007" spans="1:17" ht="12.75" customHeight="1">
      <c r="A1007" s="371" t="s">
        <v>936</v>
      </c>
      <c r="B1007" s="372"/>
      <c r="C1007" s="373"/>
      <c r="D1007" s="374"/>
      <c r="E1007" s="375">
        <f>SUM(E1014,E1008)</f>
        <v>39958.43</v>
      </c>
      <c r="F1007" s="375">
        <f t="shared" ref="F1007:G1007" si="793">SUM(F1014,F1008)</f>
        <v>0</v>
      </c>
      <c r="G1007" s="376">
        <f t="shared" si="793"/>
        <v>39958.43</v>
      </c>
      <c r="H1007" s="377">
        <f t="shared" ref="H1007:J1007" si="794">SUM(H1014,H1008)</f>
        <v>0</v>
      </c>
      <c r="I1007" s="445">
        <f t="shared" si="794"/>
        <v>0</v>
      </c>
      <c r="J1007" s="445">
        <f t="shared" si="794"/>
        <v>0</v>
      </c>
      <c r="K1007" s="137">
        <f t="shared" si="774"/>
        <v>79916.86</v>
      </c>
      <c r="L1007" s="137">
        <f t="shared" si="779"/>
        <v>39958.43</v>
      </c>
      <c r="M1007" s="132"/>
      <c r="N1007" s="132"/>
      <c r="O1007" s="132"/>
      <c r="P1007" s="132"/>
      <c r="Q1007" s="139">
        <f t="shared" si="776"/>
        <v>0</v>
      </c>
    </row>
    <row r="1008" spans="1:17" ht="12.75" customHeight="1">
      <c r="A1008" s="392"/>
      <c r="B1008" s="393"/>
      <c r="C1008" s="394" t="s">
        <v>732</v>
      </c>
      <c r="D1008" s="395"/>
      <c r="E1008" s="396">
        <f>SUM(E1010:E1013)</f>
        <v>20762</v>
      </c>
      <c r="F1008" s="396">
        <f>SUM(F1010:F1013)</f>
        <v>0</v>
      </c>
      <c r="G1008" s="725">
        <f>SUM(G1010:G1013)</f>
        <v>20762</v>
      </c>
      <c r="H1008" s="398">
        <f t="shared" ref="H1008:J1008" si="795">SUM(H1010:H1013)</f>
        <v>0</v>
      </c>
      <c r="I1008" s="448">
        <f t="shared" si="795"/>
        <v>0</v>
      </c>
      <c r="J1008" s="448">
        <f t="shared" si="795"/>
        <v>0</v>
      </c>
      <c r="K1008" s="137">
        <f t="shared" si="774"/>
        <v>41524</v>
      </c>
      <c r="L1008" s="137">
        <f t="shared" si="779"/>
        <v>20762</v>
      </c>
      <c r="M1008" s="132"/>
      <c r="N1008" s="132"/>
      <c r="O1008" s="132"/>
      <c r="P1008" s="132"/>
      <c r="Q1008" s="139">
        <f t="shared" si="776"/>
        <v>0</v>
      </c>
    </row>
    <row r="1009" spans="1:17" ht="12.75" hidden="1" customHeight="1">
      <c r="A1009" s="385"/>
      <c r="B1009" s="386"/>
      <c r="C1009" s="387" t="s">
        <v>731</v>
      </c>
      <c r="D1009" s="388"/>
      <c r="E1009" s="406"/>
      <c r="F1009" s="406"/>
      <c r="G1009" s="390"/>
      <c r="H1009" s="726">
        <f>ROUND(F1009*H$7,)</f>
        <v>0</v>
      </c>
      <c r="I1009" s="734">
        <f>ROUND(G1009*I$7,)</f>
        <v>0</v>
      </c>
      <c r="J1009" s="734">
        <f>ROUND(H1009*J$7,)</f>
        <v>0</v>
      </c>
      <c r="K1009" s="145">
        <f t="shared" si="774"/>
        <v>0</v>
      </c>
      <c r="L1009" s="145">
        <f t="shared" si="779"/>
        <v>0</v>
      </c>
      <c r="M1009" s="5"/>
      <c r="N1009" s="5"/>
      <c r="O1009" s="5"/>
      <c r="P1009" s="5"/>
      <c r="Q1009" s="139">
        <f t="shared" si="776"/>
        <v>0</v>
      </c>
    </row>
    <row r="1010" spans="1:17" ht="12.75" customHeight="1">
      <c r="A1010" s="392"/>
      <c r="B1010" s="393"/>
      <c r="C1010" s="394" t="s">
        <v>937</v>
      </c>
      <c r="D1010" s="395"/>
      <c r="E1010" s="200">
        <f>16267+50</f>
        <v>16317</v>
      </c>
      <c r="F1010" s="200"/>
      <c r="G1010" s="397">
        <f t="shared" ref="G1010:G1017" si="796">SUM(F1010,E1010)</f>
        <v>16317</v>
      </c>
      <c r="H1010" s="399">
        <f>ROUND(F1010*H$7,)</f>
        <v>0</v>
      </c>
      <c r="I1010" s="449">
        <f>ROUND(F1010*I$7,)</f>
        <v>0</v>
      </c>
      <c r="J1010" s="449">
        <f>ROUND(F1010*J$7,)</f>
        <v>0</v>
      </c>
      <c r="K1010" s="137">
        <f t="shared" si="774"/>
        <v>32634</v>
      </c>
      <c r="L1010" s="137">
        <f t="shared" si="779"/>
        <v>16317</v>
      </c>
      <c r="M1010" s="132"/>
      <c r="N1010" s="132"/>
      <c r="O1010" s="132"/>
      <c r="P1010" s="132"/>
      <c r="Q1010" s="139">
        <f t="shared" si="776"/>
        <v>0</v>
      </c>
    </row>
    <row r="1011" spans="1:17" ht="12.75" hidden="1" customHeight="1">
      <c r="A1011" s="385"/>
      <c r="B1011" s="386"/>
      <c r="C1011" s="387" t="s">
        <v>938</v>
      </c>
      <c r="D1011" s="403"/>
      <c r="E1011" s="192"/>
      <c r="F1011" s="192"/>
      <c r="G1011" s="390">
        <f t="shared" si="796"/>
        <v>0</v>
      </c>
      <c r="H1011" s="399">
        <f>ROUND(F1011*H$7,)</f>
        <v>0</v>
      </c>
      <c r="I1011" s="449">
        <f>ROUND(F1011*I$7,)</f>
        <v>0</v>
      </c>
      <c r="J1011" s="449">
        <f>ROUND(F1011*J$7,)</f>
        <v>0</v>
      </c>
      <c r="K1011" s="145">
        <f t="shared" si="774"/>
        <v>0</v>
      </c>
      <c r="L1011" s="145">
        <f t="shared" si="779"/>
        <v>0</v>
      </c>
      <c r="M1011" s="5"/>
      <c r="N1011" s="5"/>
      <c r="O1011" s="5"/>
      <c r="P1011" s="5"/>
      <c r="Q1011" s="139">
        <f t="shared" si="776"/>
        <v>0</v>
      </c>
    </row>
    <row r="1012" spans="1:17" ht="12.75" customHeight="1">
      <c r="A1012" s="392"/>
      <c r="B1012" s="393"/>
      <c r="C1012" s="394" t="s">
        <v>939</v>
      </c>
      <c r="D1012" s="395"/>
      <c r="E1012" s="200">
        <v>4445</v>
      </c>
      <c r="F1012" s="200"/>
      <c r="G1012" s="397">
        <f t="shared" ref="G1012" si="797">SUM(F1012,E1012)</f>
        <v>4445</v>
      </c>
      <c r="H1012" s="399">
        <f>ROUND(F1012*H$7,)</f>
        <v>0</v>
      </c>
      <c r="I1012" s="449">
        <f>ROUND(F1012*I$7,)</f>
        <v>0</v>
      </c>
      <c r="J1012" s="449">
        <f>ROUND(F1012*J$7,)</f>
        <v>0</v>
      </c>
      <c r="K1012" s="137">
        <f t="shared" ref="K1012" si="798">SUM(E1012:G1012)</f>
        <v>8890</v>
      </c>
      <c r="L1012" s="137">
        <f t="shared" ref="L1012" si="799">IF(G1012&lt;&gt;0,G1012,0)</f>
        <v>4445</v>
      </c>
      <c r="M1012" s="132"/>
      <c r="N1012" s="132"/>
      <c r="O1012" s="132"/>
      <c r="P1012" s="132"/>
      <c r="Q1012" s="139">
        <f t="shared" ref="Q1012" si="800">E1012-G1012</f>
        <v>0</v>
      </c>
    </row>
    <row r="1013" spans="1:17" ht="12.75" hidden="1" customHeight="1">
      <c r="A1013" s="392"/>
      <c r="B1013" s="393"/>
      <c r="C1013" s="394" t="s">
        <v>940</v>
      </c>
      <c r="D1013" s="395"/>
      <c r="E1013" s="200"/>
      <c r="F1013" s="200"/>
      <c r="G1013" s="397">
        <f t="shared" si="796"/>
        <v>0</v>
      </c>
      <c r="H1013" s="399">
        <f>ROUND(F1013*H$7,)</f>
        <v>0</v>
      </c>
      <c r="I1013" s="449">
        <f>ROUND(F1013*I$7,)</f>
        <v>0</v>
      </c>
      <c r="J1013" s="449">
        <f>ROUND(F1013*J$7,)</f>
        <v>0</v>
      </c>
      <c r="K1013" s="137">
        <f t="shared" ref="K1013:K1020" si="801">SUM(E1013:G1013)</f>
        <v>0</v>
      </c>
      <c r="L1013" s="137">
        <f t="shared" ref="L1013:L1020" si="802">IF(G1013&lt;&gt;0,G1013,0)</f>
        <v>0</v>
      </c>
      <c r="M1013" s="132"/>
      <c r="N1013" s="132"/>
      <c r="O1013" s="132"/>
      <c r="P1013" s="132"/>
      <c r="Q1013" s="139">
        <f t="shared" si="776"/>
        <v>0</v>
      </c>
    </row>
    <row r="1014" spans="1:17" ht="12.75" customHeight="1">
      <c r="A1014" s="392"/>
      <c r="B1014" s="393"/>
      <c r="C1014" s="394" t="s">
        <v>733</v>
      </c>
      <c r="D1014" s="395"/>
      <c r="E1014" s="200">
        <f>SUM(E1015:E1017)</f>
        <v>19196.43</v>
      </c>
      <c r="F1014" s="200">
        <f>SUM(F1015:F1017)</f>
        <v>0</v>
      </c>
      <c r="G1014" s="397">
        <f t="shared" si="796"/>
        <v>19196.43</v>
      </c>
      <c r="H1014" s="399"/>
      <c r="I1014" s="449"/>
      <c r="J1014" s="449"/>
      <c r="K1014" s="137">
        <f t="shared" si="801"/>
        <v>38392.86</v>
      </c>
      <c r="L1014" s="137">
        <f t="shared" si="802"/>
        <v>19196.43</v>
      </c>
      <c r="M1014" s="132"/>
      <c r="N1014" s="132"/>
      <c r="O1014" s="132"/>
      <c r="P1014" s="132"/>
      <c r="Q1014" s="139">
        <f t="shared" si="776"/>
        <v>0</v>
      </c>
    </row>
    <row r="1015" spans="1:17" ht="12.75" customHeight="1">
      <c r="A1015" s="392"/>
      <c r="B1015" s="393"/>
      <c r="C1015" s="394" t="s">
        <v>941</v>
      </c>
      <c r="D1015" s="395"/>
      <c r="E1015" s="200">
        <v>19196.43</v>
      </c>
      <c r="F1015" s="200"/>
      <c r="G1015" s="397">
        <f t="shared" si="796"/>
        <v>19196.43</v>
      </c>
      <c r="H1015" s="399"/>
      <c r="I1015" s="449"/>
      <c r="J1015" s="449"/>
      <c r="K1015" s="137">
        <f t="shared" si="801"/>
        <v>38392.86</v>
      </c>
      <c r="L1015" s="137">
        <f t="shared" si="802"/>
        <v>19196.43</v>
      </c>
      <c r="M1015" s="132"/>
      <c r="N1015" s="132"/>
      <c r="O1015" s="132"/>
      <c r="P1015" s="132"/>
      <c r="Q1015" s="139">
        <f t="shared" si="776"/>
        <v>0</v>
      </c>
    </row>
    <row r="1016" spans="1:17" ht="12.75" hidden="1" customHeight="1">
      <c r="A1016" s="385"/>
      <c r="B1016" s="386"/>
      <c r="C1016" s="387" t="s">
        <v>942</v>
      </c>
      <c r="D1016" s="388"/>
      <c r="E1016" s="192"/>
      <c r="F1016" s="192"/>
      <c r="G1016" s="390">
        <f t="shared" si="796"/>
        <v>0</v>
      </c>
      <c r="H1016" s="399"/>
      <c r="I1016" s="449"/>
      <c r="J1016" s="449"/>
      <c r="K1016" s="145">
        <f t="shared" si="801"/>
        <v>0</v>
      </c>
      <c r="L1016" s="145">
        <f t="shared" si="802"/>
        <v>0</v>
      </c>
      <c r="M1016" s="5"/>
      <c r="N1016" s="5"/>
      <c r="O1016" s="5"/>
      <c r="P1016" s="5"/>
      <c r="Q1016" s="139">
        <f t="shared" si="776"/>
        <v>0</v>
      </c>
    </row>
    <row r="1017" spans="1:17" ht="12.75" hidden="1" customHeight="1">
      <c r="A1017" s="392"/>
      <c r="B1017" s="393"/>
      <c r="C1017" s="394" t="s">
        <v>943</v>
      </c>
      <c r="D1017" s="414"/>
      <c r="E1017" s="200"/>
      <c r="F1017" s="200"/>
      <c r="G1017" s="397">
        <f t="shared" si="796"/>
        <v>0</v>
      </c>
      <c r="H1017" s="399"/>
      <c r="I1017" s="449"/>
      <c r="J1017" s="449"/>
      <c r="K1017" s="137">
        <f t="shared" si="801"/>
        <v>0</v>
      </c>
      <c r="L1017" s="137">
        <f t="shared" si="802"/>
        <v>0</v>
      </c>
      <c r="M1017" s="132"/>
      <c r="N1017" s="132"/>
      <c r="O1017" s="132"/>
      <c r="P1017" s="132"/>
      <c r="Q1017" s="139">
        <f t="shared" si="776"/>
        <v>0</v>
      </c>
    </row>
    <row r="1018" spans="1:17" ht="24.75" customHeight="1">
      <c r="A1018" s="947" t="s">
        <v>825</v>
      </c>
      <c r="B1018" s="948"/>
      <c r="C1018" s="948"/>
      <c r="D1018" s="553" t="s">
        <v>944</v>
      </c>
      <c r="E1018" s="375">
        <f>E1020+E1026+E1019</f>
        <v>117010.2</v>
      </c>
      <c r="F1018" s="375">
        <f>F1020+F1026+F1019</f>
        <v>0</v>
      </c>
      <c r="G1018" s="375">
        <f>G1020+G1026+G1019</f>
        <v>117010.2</v>
      </c>
      <c r="H1018" s="478">
        <f>SUM(H1028)</f>
        <v>0</v>
      </c>
      <c r="I1018" s="531">
        <f>SUM(I1028)</f>
        <v>0</v>
      </c>
      <c r="J1018" s="531">
        <f>SUM(J1028)</f>
        <v>0</v>
      </c>
      <c r="K1018" s="137">
        <f t="shared" si="801"/>
        <v>234020.4</v>
      </c>
      <c r="L1018" s="137">
        <f t="shared" si="802"/>
        <v>117010.2</v>
      </c>
      <c r="M1018" s="132"/>
      <c r="N1018" s="132"/>
      <c r="O1018" s="132"/>
      <c r="P1018" s="132"/>
      <c r="Q1018" s="139">
        <f t="shared" si="776"/>
        <v>0</v>
      </c>
    </row>
    <row r="1019" spans="1:17" ht="66.75" customHeight="1">
      <c r="A1019" s="727"/>
      <c r="B1019" s="728"/>
      <c r="C1019" s="633" t="s">
        <v>945</v>
      </c>
      <c r="D1019" s="418"/>
      <c r="E1019" s="396">
        <v>13153.9</v>
      </c>
      <c r="F1019" s="396"/>
      <c r="G1019" s="598">
        <f t="shared" ref="G1019:G1027" si="803">SUM(F1019,E1019)</f>
        <v>13153.9</v>
      </c>
      <c r="H1019" s="585"/>
      <c r="I1019" s="618"/>
      <c r="J1019" s="618"/>
      <c r="K1019" s="137">
        <f t="shared" si="801"/>
        <v>26307.8</v>
      </c>
      <c r="L1019" s="137">
        <f t="shared" si="802"/>
        <v>13153.9</v>
      </c>
      <c r="M1019" s="132"/>
      <c r="N1019" s="132"/>
      <c r="O1019" s="132"/>
      <c r="P1019" s="132"/>
      <c r="Q1019" s="139">
        <f t="shared" si="776"/>
        <v>0</v>
      </c>
    </row>
    <row r="1020" spans="1:17" ht="51" customHeight="1">
      <c r="A1020" s="727"/>
      <c r="B1020" s="728"/>
      <c r="C1020" s="633" t="s">
        <v>946</v>
      </c>
      <c r="D1020" s="418"/>
      <c r="E1020" s="396">
        <f>SUM(E1021:E1022)</f>
        <v>7205.5999999999995</v>
      </c>
      <c r="F1020" s="396">
        <f>SUM(F1021:F1022)</f>
        <v>0</v>
      </c>
      <c r="G1020" s="598">
        <f t="shared" si="803"/>
        <v>7205.5999999999995</v>
      </c>
      <c r="H1020" s="585"/>
      <c r="I1020" s="618"/>
      <c r="J1020" s="618"/>
      <c r="K1020" s="137">
        <f t="shared" si="801"/>
        <v>14411.199999999999</v>
      </c>
      <c r="L1020" s="137">
        <f t="shared" si="802"/>
        <v>7205.5999999999995</v>
      </c>
      <c r="M1020" s="132"/>
      <c r="N1020" s="132"/>
      <c r="O1020" s="132"/>
      <c r="P1020" s="132"/>
      <c r="Q1020" s="139">
        <f t="shared" si="776"/>
        <v>0</v>
      </c>
    </row>
    <row r="1021" spans="1:17" ht="12.75" customHeight="1">
      <c r="A1021" s="727"/>
      <c r="B1021" s="728"/>
      <c r="C1021" s="600" t="s">
        <v>832</v>
      </c>
      <c r="D1021" s="418"/>
      <c r="E1021" s="396">
        <v>6634.2</v>
      </c>
      <c r="F1021" s="396"/>
      <c r="G1021" s="598">
        <f t="shared" si="803"/>
        <v>6634.2</v>
      </c>
      <c r="H1021" s="585"/>
      <c r="I1021" s="618"/>
      <c r="J1021" s="618"/>
      <c r="K1021" s="137">
        <f t="shared" ref="K1021:K1023" si="804">SUM(E1021:G1021)</f>
        <v>13268.4</v>
      </c>
      <c r="L1021" s="137">
        <f t="shared" ref="L1021:L1023" si="805">IF(G1021&lt;&gt;0,G1021,0)</f>
        <v>6634.2</v>
      </c>
      <c r="M1021" s="132"/>
      <c r="N1021" s="132"/>
      <c r="O1021" s="132"/>
      <c r="P1021" s="132"/>
      <c r="Q1021" s="139">
        <f t="shared" si="776"/>
        <v>0</v>
      </c>
    </row>
    <row r="1022" spans="1:17" ht="24.75" customHeight="1">
      <c r="A1022" s="727"/>
      <c r="B1022" s="728"/>
      <c r="C1022" s="600" t="s">
        <v>947</v>
      </c>
      <c r="D1022" s="418"/>
      <c r="E1022" s="396">
        <v>571.4</v>
      </c>
      <c r="F1022" s="396"/>
      <c r="G1022" s="598">
        <f t="shared" si="803"/>
        <v>571.4</v>
      </c>
      <c r="H1022" s="585"/>
      <c r="I1022" s="618"/>
      <c r="J1022" s="618"/>
      <c r="K1022" s="137">
        <f t="shared" si="804"/>
        <v>1142.8</v>
      </c>
      <c r="L1022" s="137">
        <f t="shared" si="805"/>
        <v>571.4</v>
      </c>
      <c r="M1022" s="132"/>
      <c r="N1022" s="132"/>
      <c r="O1022" s="132"/>
      <c r="P1022" s="132"/>
      <c r="Q1022" s="139">
        <f t="shared" si="776"/>
        <v>0</v>
      </c>
    </row>
    <row r="1023" spans="1:17" ht="76.5" hidden="1" customHeight="1">
      <c r="A1023" s="727"/>
      <c r="B1023" s="728"/>
      <c r="C1023" s="633" t="s">
        <v>948</v>
      </c>
      <c r="D1023" s="418"/>
      <c r="E1023" s="396">
        <f>SUM(E1024:E1025)</f>
        <v>0</v>
      </c>
      <c r="F1023" s="396">
        <f>SUM(F1024:F1025)</f>
        <v>0</v>
      </c>
      <c r="G1023" s="598">
        <f t="shared" si="803"/>
        <v>0</v>
      </c>
      <c r="H1023" s="585"/>
      <c r="I1023" s="618"/>
      <c r="J1023" s="618"/>
      <c r="K1023" s="137">
        <f t="shared" si="804"/>
        <v>0</v>
      </c>
      <c r="L1023" s="137">
        <f t="shared" si="805"/>
        <v>0</v>
      </c>
      <c r="M1023" s="132"/>
      <c r="N1023" s="132"/>
      <c r="O1023" s="132"/>
      <c r="P1023" s="132"/>
      <c r="Q1023" s="139">
        <f t="shared" si="776"/>
        <v>0</v>
      </c>
    </row>
    <row r="1024" spans="1:17" ht="12.75" hidden="1" customHeight="1">
      <c r="A1024" s="727"/>
      <c r="B1024" s="728"/>
      <c r="C1024" s="633" t="s">
        <v>842</v>
      </c>
      <c r="D1024" s="418"/>
      <c r="E1024" s="396"/>
      <c r="F1024" s="396"/>
      <c r="G1024" s="598">
        <f t="shared" si="803"/>
        <v>0</v>
      </c>
      <c r="H1024" s="585"/>
      <c r="I1024" s="618"/>
      <c r="J1024" s="618"/>
      <c r="K1024" s="137">
        <f t="shared" ref="K1024:K1025" si="806">SUM(E1024:G1024)</f>
        <v>0</v>
      </c>
      <c r="L1024" s="137">
        <f t="shared" ref="L1024:L1025" si="807">IF(G1024&lt;&gt;0,G1024,0)</f>
        <v>0</v>
      </c>
      <c r="M1024" s="132"/>
      <c r="N1024" s="132"/>
      <c r="O1024" s="132"/>
      <c r="P1024" s="132"/>
      <c r="Q1024" s="139">
        <f t="shared" si="776"/>
        <v>0</v>
      </c>
    </row>
    <row r="1025" spans="1:17" ht="12.75" hidden="1" customHeight="1">
      <c r="A1025" s="727"/>
      <c r="B1025" s="728"/>
      <c r="C1025" s="633" t="s">
        <v>949</v>
      </c>
      <c r="D1025" s="418"/>
      <c r="E1025" s="396"/>
      <c r="F1025" s="396"/>
      <c r="G1025" s="598">
        <f t="shared" si="803"/>
        <v>0</v>
      </c>
      <c r="H1025" s="585"/>
      <c r="I1025" s="618"/>
      <c r="J1025" s="618"/>
      <c r="K1025" s="137">
        <f t="shared" si="806"/>
        <v>0</v>
      </c>
      <c r="L1025" s="137">
        <f t="shared" si="807"/>
        <v>0</v>
      </c>
      <c r="M1025" s="132"/>
      <c r="N1025" s="132"/>
      <c r="O1025" s="132"/>
      <c r="P1025" s="132"/>
      <c r="Q1025" s="139">
        <f t="shared" si="776"/>
        <v>0</v>
      </c>
    </row>
    <row r="1026" spans="1:17" ht="24" customHeight="1">
      <c r="A1026" s="729"/>
      <c r="B1026" s="730"/>
      <c r="C1026" s="412" t="s">
        <v>950</v>
      </c>
      <c r="D1026" s="547"/>
      <c r="E1026" s="406">
        <v>96650.7</v>
      </c>
      <c r="F1026" s="406"/>
      <c r="G1026" s="584">
        <f t="shared" si="803"/>
        <v>96650.7</v>
      </c>
      <c r="H1026" s="585"/>
      <c r="I1026" s="618"/>
      <c r="J1026" s="618"/>
      <c r="K1026" s="145">
        <f t="shared" ref="K1026:K1063" si="808">SUM(E1026:G1026)</f>
        <v>193301.4</v>
      </c>
      <c r="L1026" s="145">
        <f t="shared" ref="L1026:L1057" si="809">IF(G1026&lt;&gt;0,G1026,0)</f>
        <v>96650.7</v>
      </c>
      <c r="M1026" s="5"/>
      <c r="N1026" s="5"/>
      <c r="O1026" s="5"/>
      <c r="P1026" s="5"/>
      <c r="Q1026" s="139">
        <f t="shared" si="776"/>
        <v>0</v>
      </c>
    </row>
    <row r="1027" spans="1:17" ht="12.75" hidden="1" customHeight="1">
      <c r="A1027" s="392"/>
      <c r="B1027" s="393"/>
      <c r="C1027" s="394" t="s">
        <v>732</v>
      </c>
      <c r="D1027" s="414"/>
      <c r="E1027" s="396">
        <f>SUM(E1024)</f>
        <v>0</v>
      </c>
      <c r="F1027" s="396">
        <f>SUM(F1024)</f>
        <v>0</v>
      </c>
      <c r="G1027" s="397">
        <f t="shared" si="803"/>
        <v>0</v>
      </c>
      <c r="H1027" s="391">
        <f>ROUND(F1027*H$7,)</f>
        <v>0</v>
      </c>
      <c r="I1027" s="447">
        <f>ROUND(G1027*I$7,)</f>
        <v>0</v>
      </c>
      <c r="J1027" s="447">
        <f>ROUND(H1027*J$7,)</f>
        <v>0</v>
      </c>
      <c r="K1027" s="137">
        <f t="shared" si="808"/>
        <v>0</v>
      </c>
      <c r="L1027" s="137">
        <f t="shared" si="809"/>
        <v>0</v>
      </c>
      <c r="M1027" s="132"/>
      <c r="N1027" s="132"/>
      <c r="O1027" s="132"/>
      <c r="P1027" s="132"/>
      <c r="Q1027" s="139">
        <f t="shared" si="776"/>
        <v>0</v>
      </c>
    </row>
    <row r="1028" spans="1:17" ht="12.75" customHeight="1">
      <c r="A1028" s="392"/>
      <c r="B1028" s="393"/>
      <c r="C1028" s="394" t="s">
        <v>733</v>
      </c>
      <c r="D1028" s="414"/>
      <c r="E1028" s="200">
        <f>SUM(E1019,E1020,E1025,E1026)</f>
        <v>117010.2</v>
      </c>
      <c r="F1028" s="200">
        <f>SUM(F1019,F1020,F1025,F1026)</f>
        <v>0</v>
      </c>
      <c r="G1028" s="222">
        <f>SUM(G1019,G1020,G1025,G1026)</f>
        <v>117010.2</v>
      </c>
      <c r="H1028" s="407"/>
      <c r="I1028" s="452"/>
      <c r="J1028" s="452"/>
      <c r="K1028" s="137">
        <f t="shared" si="808"/>
        <v>234020.4</v>
      </c>
      <c r="L1028" s="137">
        <f t="shared" si="809"/>
        <v>117010.2</v>
      </c>
      <c r="M1028" s="132"/>
      <c r="N1028" s="132"/>
      <c r="O1028" s="132"/>
      <c r="P1028" s="132"/>
      <c r="Q1028" s="139">
        <f t="shared" si="776"/>
        <v>0</v>
      </c>
    </row>
    <row r="1029" spans="1:17" ht="37.5" hidden="1" customHeight="1">
      <c r="A1029" s="949" t="s">
        <v>951</v>
      </c>
      <c r="B1029" s="948"/>
      <c r="C1029" s="948"/>
      <c r="D1029" s="428"/>
      <c r="E1029" s="429">
        <f>SUM(E1030)</f>
        <v>0</v>
      </c>
      <c r="F1029" s="429">
        <f>SUM(F1030)</f>
        <v>0</v>
      </c>
      <c r="G1029" s="608">
        <f>SUM(G1030)</f>
        <v>0</v>
      </c>
      <c r="H1029" s="559">
        <f t="shared" ref="H1029:J1034" si="810">ROUND(F1029*H$7,)</f>
        <v>0</v>
      </c>
      <c r="I1029" s="573">
        <f t="shared" si="810"/>
        <v>0</v>
      </c>
      <c r="J1029" s="573">
        <f t="shared" si="810"/>
        <v>0</v>
      </c>
      <c r="K1029" s="145">
        <f t="shared" si="808"/>
        <v>0</v>
      </c>
      <c r="L1029" s="145">
        <f t="shared" si="809"/>
        <v>0</v>
      </c>
      <c r="M1029" s="5"/>
      <c r="N1029" s="5"/>
      <c r="O1029" s="5"/>
      <c r="P1029" s="5"/>
      <c r="Q1029" s="139">
        <f t="shared" si="776"/>
        <v>0</v>
      </c>
    </row>
    <row r="1030" spans="1:17" ht="12.75" hidden="1" customHeight="1">
      <c r="A1030" s="385"/>
      <c r="B1030" s="386"/>
      <c r="C1030" s="387" t="s">
        <v>733</v>
      </c>
      <c r="D1030" s="388"/>
      <c r="E1030" s="389"/>
      <c r="F1030" s="389"/>
      <c r="G1030" s="390">
        <f>SUM(F1030,E1030)</f>
        <v>0</v>
      </c>
      <c r="H1030" s="391">
        <f t="shared" si="810"/>
        <v>0</v>
      </c>
      <c r="I1030" s="447">
        <f t="shared" si="810"/>
        <v>0</v>
      </c>
      <c r="J1030" s="447">
        <f t="shared" si="810"/>
        <v>0</v>
      </c>
      <c r="K1030" s="145">
        <f t="shared" si="808"/>
        <v>0</v>
      </c>
      <c r="L1030" s="145">
        <f t="shared" si="809"/>
        <v>0</v>
      </c>
      <c r="M1030" s="5"/>
      <c r="N1030" s="5"/>
      <c r="O1030" s="5"/>
      <c r="P1030" s="5"/>
      <c r="Q1030" s="139">
        <f t="shared" si="776"/>
        <v>0</v>
      </c>
    </row>
    <row r="1031" spans="1:17" ht="15" hidden="1" customHeight="1">
      <c r="A1031" s="950" t="s">
        <v>952</v>
      </c>
      <c r="B1031" s="948"/>
      <c r="C1031" s="948"/>
      <c r="D1031" s="731"/>
      <c r="E1031" s="732">
        <f>SUM(E1032)</f>
        <v>0</v>
      </c>
      <c r="F1031" s="732">
        <f>SUM(F1032)</f>
        <v>0</v>
      </c>
      <c r="G1031" s="608">
        <f>SUM(G1032)</f>
        <v>0</v>
      </c>
      <c r="H1031" s="733">
        <f t="shared" si="810"/>
        <v>0</v>
      </c>
      <c r="I1031" s="735">
        <f t="shared" si="810"/>
        <v>0</v>
      </c>
      <c r="J1031" s="735">
        <f t="shared" si="810"/>
        <v>0</v>
      </c>
      <c r="K1031" s="145">
        <f t="shared" si="808"/>
        <v>0</v>
      </c>
      <c r="L1031" s="145">
        <f t="shared" si="809"/>
        <v>0</v>
      </c>
      <c r="M1031" s="5"/>
      <c r="N1031" s="5"/>
      <c r="O1031" s="5"/>
      <c r="P1031" s="5"/>
      <c r="Q1031" s="139">
        <f t="shared" si="776"/>
        <v>0</v>
      </c>
    </row>
    <row r="1032" spans="1:17" ht="12.75" hidden="1" customHeight="1">
      <c r="A1032" s="385"/>
      <c r="B1032" s="386"/>
      <c r="C1032" s="387" t="s">
        <v>733</v>
      </c>
      <c r="D1032" s="388"/>
      <c r="E1032" s="406"/>
      <c r="F1032" s="406"/>
      <c r="G1032" s="390">
        <f>SUM(F1032,E1032)</f>
        <v>0</v>
      </c>
      <c r="H1032" s="391">
        <f t="shared" si="810"/>
        <v>0</v>
      </c>
      <c r="I1032" s="447">
        <f t="shared" si="810"/>
        <v>0</v>
      </c>
      <c r="J1032" s="447">
        <f t="shared" si="810"/>
        <v>0</v>
      </c>
      <c r="K1032" s="145">
        <f t="shared" si="808"/>
        <v>0</v>
      </c>
      <c r="L1032" s="145">
        <f t="shared" si="809"/>
        <v>0</v>
      </c>
      <c r="M1032" s="5"/>
      <c r="N1032" s="5"/>
      <c r="O1032" s="5"/>
      <c r="P1032" s="5"/>
      <c r="Q1032" s="139">
        <f t="shared" si="776"/>
        <v>0</v>
      </c>
    </row>
    <row r="1033" spans="1:17" ht="12.75" customHeight="1">
      <c r="A1033" s="371" t="s">
        <v>953</v>
      </c>
      <c r="B1033" s="372"/>
      <c r="C1033" s="373"/>
      <c r="D1033" s="374"/>
      <c r="E1033" s="375">
        <f>SUM(E1034,E1037)</f>
        <v>15248.1</v>
      </c>
      <c r="F1033" s="375">
        <f>SUM(F1034,F1037)</f>
        <v>0</v>
      </c>
      <c r="G1033" s="376">
        <f>SUM(G1034,G1037)</f>
        <v>15248.1</v>
      </c>
      <c r="H1033" s="377">
        <f t="shared" si="810"/>
        <v>0</v>
      </c>
      <c r="I1033" s="445">
        <f t="shared" si="810"/>
        <v>15648</v>
      </c>
      <c r="J1033" s="445">
        <f t="shared" si="810"/>
        <v>0</v>
      </c>
      <c r="K1033" s="137">
        <f t="shared" si="808"/>
        <v>30496.2</v>
      </c>
      <c r="L1033" s="137">
        <f t="shared" si="809"/>
        <v>15248.1</v>
      </c>
      <c r="M1033" s="132"/>
      <c r="N1033" s="132"/>
      <c r="O1033" s="132"/>
      <c r="P1033" s="132"/>
      <c r="Q1033" s="139">
        <f t="shared" si="776"/>
        <v>0</v>
      </c>
    </row>
    <row r="1034" spans="1:17" ht="12.75" customHeight="1">
      <c r="A1034" s="378" t="s">
        <v>954</v>
      </c>
      <c r="B1034" s="379"/>
      <c r="C1034" s="380"/>
      <c r="D1034" s="381">
        <v>84020602</v>
      </c>
      <c r="E1034" s="382">
        <f>SUM(E1035:E1036)</f>
        <v>16400</v>
      </c>
      <c r="F1034" s="382">
        <f>SUM(F1035:F1036)</f>
        <v>0</v>
      </c>
      <c r="G1034" s="383">
        <f>SUM(G1035:G1036)</f>
        <v>16400</v>
      </c>
      <c r="H1034" s="384">
        <f t="shared" si="810"/>
        <v>0</v>
      </c>
      <c r="I1034" s="446">
        <f t="shared" si="810"/>
        <v>16830</v>
      </c>
      <c r="J1034" s="446">
        <f t="shared" si="810"/>
        <v>0</v>
      </c>
      <c r="K1034" s="137">
        <f t="shared" si="808"/>
        <v>32800</v>
      </c>
      <c r="L1034" s="137">
        <f t="shared" si="809"/>
        <v>16400</v>
      </c>
      <c r="M1034" s="132"/>
      <c r="N1034" s="132"/>
      <c r="O1034" s="132"/>
      <c r="P1034" s="132"/>
      <c r="Q1034" s="139">
        <f t="shared" si="776"/>
        <v>0</v>
      </c>
    </row>
    <row r="1035" spans="1:17" ht="15" customHeight="1">
      <c r="A1035" s="392"/>
      <c r="B1035" s="393"/>
      <c r="C1035" s="394" t="s">
        <v>732</v>
      </c>
      <c r="D1035" s="395"/>
      <c r="E1035" s="396">
        <v>12400</v>
      </c>
      <c r="F1035" s="396"/>
      <c r="G1035" s="397">
        <f>SUM(F1035,E1035)</f>
        <v>12400</v>
      </c>
      <c r="H1035" s="399">
        <f>ROUND(F1035*H$7,)</f>
        <v>0</v>
      </c>
      <c r="I1035" s="449">
        <f>ROUND(F1035*I$7,)</f>
        <v>0</v>
      </c>
      <c r="J1035" s="449">
        <f>ROUND(F1035*J$7,)</f>
        <v>0</v>
      </c>
      <c r="K1035" s="137">
        <f t="shared" si="808"/>
        <v>24800</v>
      </c>
      <c r="L1035" s="137">
        <f t="shared" si="809"/>
        <v>12400</v>
      </c>
      <c r="M1035" s="450">
        <v>0.1</v>
      </c>
      <c r="N1035" s="132"/>
      <c r="O1035" s="132"/>
      <c r="P1035" s="132"/>
      <c r="Q1035" s="139">
        <f t="shared" si="776"/>
        <v>0</v>
      </c>
    </row>
    <row r="1036" spans="1:17" ht="12.75" customHeight="1">
      <c r="A1036" s="392"/>
      <c r="B1036" s="393"/>
      <c r="C1036" s="394" t="s">
        <v>733</v>
      </c>
      <c r="D1036" s="395"/>
      <c r="E1036" s="396">
        <v>4000</v>
      </c>
      <c r="F1036" s="396"/>
      <c r="G1036" s="397">
        <f>SUM(F1036,E1036)</f>
        <v>4000</v>
      </c>
      <c r="H1036" s="399">
        <f>ROUND(F1036*H$7,)</f>
        <v>0</v>
      </c>
      <c r="I1036" s="449">
        <f>ROUND(G1036*I$7,)</f>
        <v>4105</v>
      </c>
      <c r="J1036" s="449">
        <f>ROUND(H1036*J$7,)</f>
        <v>0</v>
      </c>
      <c r="K1036" s="137">
        <f t="shared" si="808"/>
        <v>8000</v>
      </c>
      <c r="L1036" s="137">
        <f t="shared" si="809"/>
        <v>4000</v>
      </c>
      <c r="M1036" s="132"/>
      <c r="N1036" s="132"/>
      <c r="O1036" s="132"/>
      <c r="P1036" s="132"/>
      <c r="Q1036" s="139">
        <f t="shared" si="776"/>
        <v>0</v>
      </c>
    </row>
    <row r="1037" spans="1:17" ht="12.75" customHeight="1">
      <c r="A1037" s="371" t="s">
        <v>742</v>
      </c>
      <c r="B1037" s="372"/>
      <c r="C1037" s="373"/>
      <c r="D1037" s="374">
        <v>84020602</v>
      </c>
      <c r="E1037" s="519">
        <f t="shared" ref="E1037:F1037" si="811">SUM(E1038:E1039)</f>
        <v>-1151.9000000000001</v>
      </c>
      <c r="F1037" s="519">
        <f t="shared" si="811"/>
        <v>0</v>
      </c>
      <c r="G1037" s="704">
        <f t="shared" ref="G1037" si="812">SUM(G1038:G1039)</f>
        <v>-1151.9000000000001</v>
      </c>
      <c r="H1037" s="431">
        <f t="shared" ref="H1037:J1037" si="813">SUM(H1038:H1039)</f>
        <v>0</v>
      </c>
      <c r="I1037" s="456">
        <f t="shared" si="813"/>
        <v>0</v>
      </c>
      <c r="J1037" s="456">
        <f t="shared" si="813"/>
        <v>0</v>
      </c>
      <c r="K1037" s="137">
        <f t="shared" si="808"/>
        <v>-2303.8000000000002</v>
      </c>
      <c r="L1037" s="137">
        <f t="shared" si="809"/>
        <v>-1151.9000000000001</v>
      </c>
      <c r="M1037" s="132"/>
      <c r="N1037" s="132"/>
      <c r="O1037" s="132"/>
      <c r="P1037" s="132"/>
      <c r="Q1037" s="139">
        <f t="shared" si="776"/>
        <v>0</v>
      </c>
    </row>
    <row r="1038" spans="1:17" ht="12.75" customHeight="1">
      <c r="A1038" s="392"/>
      <c r="B1038" s="393"/>
      <c r="C1038" s="394" t="s">
        <v>732</v>
      </c>
      <c r="D1038" s="414"/>
      <c r="E1038" s="396">
        <v>-1000</v>
      </c>
      <c r="F1038" s="396"/>
      <c r="G1038" s="397">
        <f>SUM(F1038,E1038)</f>
        <v>-1000</v>
      </c>
      <c r="H1038" s="398"/>
      <c r="I1038" s="448"/>
      <c r="J1038" s="448"/>
      <c r="K1038" s="137">
        <f t="shared" si="808"/>
        <v>-2000</v>
      </c>
      <c r="L1038" s="137">
        <f t="shared" si="809"/>
        <v>-1000</v>
      </c>
      <c r="M1038" s="132"/>
      <c r="N1038" s="132"/>
      <c r="O1038" s="132"/>
      <c r="P1038" s="132"/>
      <c r="Q1038" s="139">
        <f t="shared" si="776"/>
        <v>0</v>
      </c>
    </row>
    <row r="1039" spans="1:17" ht="12.75" customHeight="1">
      <c r="A1039" s="392"/>
      <c r="B1039" s="393"/>
      <c r="C1039" s="394" t="s">
        <v>733</v>
      </c>
      <c r="D1039" s="414"/>
      <c r="E1039" s="396">
        <v>-151.9</v>
      </c>
      <c r="F1039" s="396"/>
      <c r="G1039" s="390">
        <f>SUM(F1039,E1039)</f>
        <v>-151.9</v>
      </c>
      <c r="H1039" s="398"/>
      <c r="I1039" s="448"/>
      <c r="J1039" s="448"/>
      <c r="K1039" s="145">
        <f t="shared" si="808"/>
        <v>-303.8</v>
      </c>
      <c r="L1039" s="145">
        <f t="shared" si="809"/>
        <v>-151.9</v>
      </c>
      <c r="M1039" s="5"/>
      <c r="N1039" s="5"/>
      <c r="O1039" s="5"/>
      <c r="P1039" s="5"/>
      <c r="Q1039" s="139">
        <f t="shared" si="776"/>
        <v>0</v>
      </c>
    </row>
    <row r="1040" spans="1:17" ht="12.75" hidden="1" customHeight="1">
      <c r="A1040" s="350" t="s">
        <v>955</v>
      </c>
      <c r="B1040" s="351"/>
      <c r="C1040" s="352"/>
      <c r="D1040" s="353"/>
      <c r="E1040" s="369">
        <f t="shared" ref="E1040:F1040" si="814">SUM(E1043,E1050)</f>
        <v>0</v>
      </c>
      <c r="F1040" s="369">
        <f t="shared" si="814"/>
        <v>0</v>
      </c>
      <c r="G1040" s="736">
        <f t="shared" ref="G1040:J1040" si="815">SUM(G1043,G1050)</f>
        <v>0</v>
      </c>
      <c r="H1040" s="737">
        <f t="shared" si="815"/>
        <v>0</v>
      </c>
      <c r="I1040" s="791">
        <f t="shared" si="815"/>
        <v>0</v>
      </c>
      <c r="J1040" s="791">
        <f t="shared" si="815"/>
        <v>0</v>
      </c>
      <c r="K1040" s="137">
        <f t="shared" si="808"/>
        <v>0</v>
      </c>
      <c r="L1040" s="137">
        <f t="shared" si="809"/>
        <v>0</v>
      </c>
      <c r="M1040" s="132"/>
      <c r="N1040" s="132"/>
      <c r="O1040" s="132"/>
      <c r="P1040" s="132"/>
      <c r="Q1040" s="139">
        <f t="shared" si="776"/>
        <v>0</v>
      </c>
    </row>
    <row r="1041" spans="1:17" ht="12.75" hidden="1" customHeight="1">
      <c r="A1041" s="485"/>
      <c r="B1041" s="486" t="s">
        <v>732</v>
      </c>
      <c r="C1041" s="487"/>
      <c r="D1041" s="488"/>
      <c r="E1041" s="489">
        <f>SUM(E1045)</f>
        <v>0</v>
      </c>
      <c r="F1041" s="489">
        <f>SUM(F1045)</f>
        <v>0</v>
      </c>
      <c r="G1041" s="490">
        <f>SUM(F1041,E1041)</f>
        <v>0</v>
      </c>
      <c r="H1041" s="491">
        <f>ROUND(F1041*H$7,)</f>
        <v>0</v>
      </c>
      <c r="I1041" s="532">
        <f>ROUND(G1041*I$7,)</f>
        <v>0</v>
      </c>
      <c r="J1041" s="532">
        <f>ROUND(H1041*J$7,)</f>
        <v>0</v>
      </c>
      <c r="K1041" s="145">
        <f t="shared" si="808"/>
        <v>0</v>
      </c>
      <c r="L1041" s="145">
        <f t="shared" si="809"/>
        <v>0</v>
      </c>
      <c r="M1041" s="5"/>
      <c r="N1041" s="5"/>
      <c r="O1041" s="5"/>
      <c r="P1041" s="5"/>
      <c r="Q1041" s="139">
        <f t="shared" si="776"/>
        <v>0</v>
      </c>
    </row>
    <row r="1042" spans="1:17" ht="12.75" hidden="1" customHeight="1">
      <c r="A1042" s="586"/>
      <c r="B1042" s="643" t="s">
        <v>733</v>
      </c>
      <c r="C1042" s="644"/>
      <c r="D1042" s="645"/>
      <c r="E1042" s="692">
        <f>SUM(E1046,E1048,E1049,E1052,E1054)</f>
        <v>0</v>
      </c>
      <c r="F1042" s="692">
        <f>SUM(F1046,F1048,F1049,F1052,F1054)</f>
        <v>0</v>
      </c>
      <c r="G1042" s="693">
        <f>SUM(G1046,G1048,G1049,G1052,G1054)</f>
        <v>0</v>
      </c>
      <c r="H1042" s="642">
        <f>SUM(H1044:H1049,H1052)</f>
        <v>0</v>
      </c>
      <c r="I1042" s="652">
        <f>SUM(I1044:I1049,I1052)</f>
        <v>0</v>
      </c>
      <c r="J1042" s="652">
        <f>SUM(J1044:J1049,J1052)</f>
        <v>0</v>
      </c>
      <c r="K1042" s="137">
        <f t="shared" si="808"/>
        <v>0</v>
      </c>
      <c r="L1042" s="137">
        <f t="shared" si="809"/>
        <v>0</v>
      </c>
      <c r="M1042" s="132"/>
      <c r="N1042" s="132"/>
      <c r="O1042" s="132"/>
      <c r="P1042" s="132"/>
      <c r="Q1042" s="139">
        <f t="shared" si="776"/>
        <v>0</v>
      </c>
    </row>
    <row r="1043" spans="1:17" ht="12.75" hidden="1" customHeight="1">
      <c r="A1043" s="371" t="s">
        <v>956</v>
      </c>
      <c r="B1043" s="372"/>
      <c r="C1043" s="373"/>
      <c r="D1043" s="374"/>
      <c r="E1043" s="375">
        <f>SUM(E1044,E1047,E1049)</f>
        <v>0</v>
      </c>
      <c r="F1043" s="375">
        <f>SUM(F1044,F1047,F1049)</f>
        <v>0</v>
      </c>
      <c r="G1043" s="376">
        <f>SUM(G1044,G1047,G1049)</f>
        <v>0</v>
      </c>
      <c r="H1043" s="478">
        <f>SUM(H1044,H1049)</f>
        <v>0</v>
      </c>
      <c r="I1043" s="531">
        <f>SUM(I1044,I1049)</f>
        <v>0</v>
      </c>
      <c r="J1043" s="531">
        <f>SUM(J1044,J1049)</f>
        <v>0</v>
      </c>
      <c r="K1043" s="137">
        <f t="shared" si="808"/>
        <v>0</v>
      </c>
      <c r="L1043" s="137">
        <f t="shared" si="809"/>
        <v>0</v>
      </c>
      <c r="M1043" s="132"/>
      <c r="N1043" s="132"/>
      <c r="O1043" s="132"/>
      <c r="P1043" s="132"/>
      <c r="Q1043" s="139">
        <f t="shared" si="776"/>
        <v>0</v>
      </c>
    </row>
    <row r="1044" spans="1:17" ht="12.75" hidden="1" customHeight="1">
      <c r="A1044" s="738" t="s">
        <v>956</v>
      </c>
      <c r="B1044" s="739"/>
      <c r="C1044" s="740"/>
      <c r="D1044" s="395" t="s">
        <v>957</v>
      </c>
      <c r="E1044" s="396">
        <f t="shared" ref="E1044:F1044" si="816">SUM(E1046,E1045)</f>
        <v>0</v>
      </c>
      <c r="F1044" s="396">
        <f t="shared" si="816"/>
        <v>0</v>
      </c>
      <c r="G1044" s="725">
        <f t="shared" ref="G1044:J1044" si="817">SUM(G1046,G1045)</f>
        <v>0</v>
      </c>
      <c r="H1044" s="398">
        <f t="shared" si="817"/>
        <v>0</v>
      </c>
      <c r="I1044" s="448">
        <f t="shared" si="817"/>
        <v>0</v>
      </c>
      <c r="J1044" s="448">
        <f t="shared" si="817"/>
        <v>0</v>
      </c>
      <c r="K1044" s="137">
        <f t="shared" si="808"/>
        <v>0</v>
      </c>
      <c r="L1044" s="137">
        <f t="shared" si="809"/>
        <v>0</v>
      </c>
      <c r="M1044" s="132"/>
      <c r="N1044" s="132"/>
      <c r="O1044" s="132"/>
      <c r="P1044" s="132"/>
      <c r="Q1044" s="139">
        <f t="shared" si="776"/>
        <v>0</v>
      </c>
    </row>
    <row r="1045" spans="1:17" ht="12.75" hidden="1" customHeight="1">
      <c r="A1045" s="741"/>
      <c r="B1045" s="742"/>
      <c r="C1045" s="743" t="s">
        <v>732</v>
      </c>
      <c r="D1045" s="744"/>
      <c r="E1045" s="406"/>
      <c r="F1045" s="406"/>
      <c r="G1045" s="390">
        <f>SUM(F1045,E1045)</f>
        <v>0</v>
      </c>
      <c r="H1045" s="399"/>
      <c r="I1045" s="449"/>
      <c r="J1045" s="449"/>
      <c r="K1045" s="145">
        <f t="shared" si="808"/>
        <v>0</v>
      </c>
      <c r="L1045" s="145">
        <f t="shared" si="809"/>
        <v>0</v>
      </c>
      <c r="M1045" s="5"/>
      <c r="N1045" s="5"/>
      <c r="O1045" s="5"/>
      <c r="P1045" s="5"/>
      <c r="Q1045" s="139">
        <f t="shared" si="776"/>
        <v>0</v>
      </c>
    </row>
    <row r="1046" spans="1:17" ht="12.75" hidden="1" customHeight="1">
      <c r="A1046" s="738"/>
      <c r="B1046" s="739"/>
      <c r="C1046" s="740" t="s">
        <v>733</v>
      </c>
      <c r="D1046" s="745"/>
      <c r="E1046" s="396"/>
      <c r="F1046" s="396"/>
      <c r="G1046" s="397">
        <f>SUM(F1046,E1046)</f>
        <v>0</v>
      </c>
      <c r="H1046" s="399"/>
      <c r="I1046" s="449"/>
      <c r="J1046" s="449"/>
      <c r="K1046" s="137">
        <f t="shared" si="808"/>
        <v>0</v>
      </c>
      <c r="L1046" s="137">
        <f t="shared" si="809"/>
        <v>0</v>
      </c>
      <c r="M1046" s="132"/>
      <c r="N1046" s="132"/>
      <c r="O1046" s="132"/>
      <c r="P1046" s="132"/>
      <c r="Q1046" s="139">
        <f t="shared" si="776"/>
        <v>0</v>
      </c>
    </row>
    <row r="1047" spans="1:17" ht="12.75" hidden="1" customHeight="1">
      <c r="A1047" s="425" t="s">
        <v>742</v>
      </c>
      <c r="B1047" s="426"/>
      <c r="C1047" s="427"/>
      <c r="D1047" s="557">
        <v>870250</v>
      </c>
      <c r="E1047" s="429">
        <f t="shared" ref="E1047:F1047" si="818">SUM(E1048)</f>
        <v>0</v>
      </c>
      <c r="F1047" s="429">
        <f t="shared" si="818"/>
        <v>0</v>
      </c>
      <c r="G1047" s="430">
        <f t="shared" ref="G1047:J1047" si="819">SUM(G1048)</f>
        <v>0</v>
      </c>
      <c r="H1047" s="431">
        <f t="shared" si="819"/>
        <v>0</v>
      </c>
      <c r="I1047" s="456">
        <f t="shared" si="819"/>
        <v>0</v>
      </c>
      <c r="J1047" s="456">
        <f t="shared" si="819"/>
        <v>0</v>
      </c>
      <c r="K1047" s="145">
        <f t="shared" si="808"/>
        <v>0</v>
      </c>
      <c r="L1047" s="145">
        <f t="shared" si="809"/>
        <v>0</v>
      </c>
      <c r="M1047" s="5"/>
      <c r="N1047" s="5"/>
      <c r="O1047" s="5"/>
      <c r="P1047" s="5"/>
      <c r="Q1047" s="139">
        <f t="shared" si="776"/>
        <v>0</v>
      </c>
    </row>
    <row r="1048" spans="1:17" ht="12.75" hidden="1" customHeight="1">
      <c r="A1048" s="385"/>
      <c r="B1048" s="386"/>
      <c r="C1048" s="387" t="s">
        <v>733</v>
      </c>
      <c r="D1048" s="388"/>
      <c r="E1048" s="406"/>
      <c r="F1048" s="406"/>
      <c r="G1048" s="390">
        <f>SUM(F1048,E1048)</f>
        <v>0</v>
      </c>
      <c r="H1048" s="398"/>
      <c r="I1048" s="448"/>
      <c r="J1048" s="448"/>
      <c r="K1048" s="145">
        <f t="shared" si="808"/>
        <v>0</v>
      </c>
      <c r="L1048" s="145">
        <f t="shared" si="809"/>
        <v>0</v>
      </c>
      <c r="M1048" s="5"/>
      <c r="N1048" s="5"/>
      <c r="O1048" s="5"/>
      <c r="P1048" s="5"/>
      <c r="Q1048" s="139">
        <f t="shared" si="776"/>
        <v>0</v>
      </c>
    </row>
    <row r="1049" spans="1:17" ht="12.75" hidden="1" customHeight="1">
      <c r="A1049" s="741" t="s">
        <v>958</v>
      </c>
      <c r="B1049" s="742"/>
      <c r="C1049" s="743"/>
      <c r="D1049" s="744"/>
      <c r="E1049" s="406"/>
      <c r="F1049" s="406"/>
      <c r="G1049" s="390">
        <f>SUM(F1049,E1049)</f>
        <v>0</v>
      </c>
      <c r="H1049" s="399">
        <f>ROUND(F1049*H$7,)</f>
        <v>0</v>
      </c>
      <c r="I1049" s="449">
        <f>ROUND(G1049*I$7,)</f>
        <v>0</v>
      </c>
      <c r="J1049" s="449">
        <f>ROUND(H1049*J$7,)</f>
        <v>0</v>
      </c>
      <c r="K1049" s="145">
        <f t="shared" si="808"/>
        <v>0</v>
      </c>
      <c r="L1049" s="145">
        <f t="shared" si="809"/>
        <v>0</v>
      </c>
      <c r="M1049" s="5"/>
      <c r="N1049" s="5"/>
      <c r="O1049" s="5"/>
      <c r="P1049" s="5"/>
      <c r="Q1049" s="139">
        <f t="shared" si="776"/>
        <v>0</v>
      </c>
    </row>
    <row r="1050" spans="1:17" ht="12.75" hidden="1" customHeight="1">
      <c r="A1050" s="425" t="s">
        <v>959</v>
      </c>
      <c r="B1050" s="426"/>
      <c r="C1050" s="427"/>
      <c r="D1050" s="428">
        <v>870205</v>
      </c>
      <c r="E1050" s="746">
        <f>SUM(E1051,E1053)</f>
        <v>0</v>
      </c>
      <c r="F1050" s="746">
        <f>SUM(F1051,F1053)</f>
        <v>0</v>
      </c>
      <c r="G1050" s="484">
        <f>SUM(G1051,G1053)</f>
        <v>0</v>
      </c>
      <c r="H1050" s="377">
        <f t="shared" ref="H1050:J1051" si="820">SUM(H1051)</f>
        <v>0</v>
      </c>
      <c r="I1050" s="445">
        <f t="shared" si="820"/>
        <v>0</v>
      </c>
      <c r="J1050" s="445">
        <f t="shared" si="820"/>
        <v>0</v>
      </c>
      <c r="K1050" s="145">
        <f t="shared" si="808"/>
        <v>0</v>
      </c>
      <c r="L1050" s="145">
        <f t="shared" si="809"/>
        <v>0</v>
      </c>
      <c r="M1050" s="5"/>
      <c r="N1050" s="5"/>
      <c r="O1050" s="5"/>
      <c r="P1050" s="5"/>
      <c r="Q1050" s="139">
        <f t="shared" si="776"/>
        <v>0</v>
      </c>
    </row>
    <row r="1051" spans="1:17" ht="12.75" hidden="1" customHeight="1">
      <c r="A1051" s="385"/>
      <c r="B1051" s="410" t="s">
        <v>960</v>
      </c>
      <c r="C1051" s="387"/>
      <c r="D1051" s="388"/>
      <c r="E1051" s="406">
        <f>SUM(E1052)</f>
        <v>0</v>
      </c>
      <c r="F1051" s="406">
        <f>SUM(F1052)</f>
        <v>0</v>
      </c>
      <c r="G1051" s="542">
        <f>SUM(G1052)</f>
        <v>0</v>
      </c>
      <c r="H1051" s="399">
        <f t="shared" si="820"/>
        <v>0</v>
      </c>
      <c r="I1051" s="449">
        <f t="shared" si="820"/>
        <v>0</v>
      </c>
      <c r="J1051" s="449">
        <f t="shared" si="820"/>
        <v>0</v>
      </c>
      <c r="K1051" s="145">
        <f t="shared" si="808"/>
        <v>0</v>
      </c>
      <c r="L1051" s="145">
        <f t="shared" si="809"/>
        <v>0</v>
      </c>
      <c r="M1051" s="5"/>
      <c r="N1051" s="5"/>
      <c r="O1051" s="5"/>
      <c r="P1051" s="5"/>
      <c r="Q1051" s="139">
        <f t="shared" si="776"/>
        <v>0</v>
      </c>
    </row>
    <row r="1052" spans="1:17" ht="12.75" hidden="1" customHeight="1">
      <c r="A1052" s="741"/>
      <c r="B1052" s="742"/>
      <c r="C1052" s="387" t="s">
        <v>961</v>
      </c>
      <c r="D1052" s="744"/>
      <c r="E1052" s="406"/>
      <c r="F1052" s="406"/>
      <c r="G1052" s="390">
        <f>SUM(F1052,E1052)</f>
        <v>0</v>
      </c>
      <c r="H1052" s="399"/>
      <c r="I1052" s="449"/>
      <c r="J1052" s="449"/>
      <c r="K1052" s="145">
        <f t="shared" si="808"/>
        <v>0</v>
      </c>
      <c r="L1052" s="145">
        <f t="shared" si="809"/>
        <v>0</v>
      </c>
      <c r="M1052" s="5"/>
      <c r="N1052" s="5"/>
      <c r="O1052" s="5"/>
      <c r="P1052" s="5"/>
      <c r="Q1052" s="139">
        <f t="shared" si="776"/>
        <v>0</v>
      </c>
    </row>
    <row r="1053" spans="1:17" ht="12.75" hidden="1" customHeight="1">
      <c r="A1053" s="425" t="s">
        <v>742</v>
      </c>
      <c r="B1053" s="426"/>
      <c r="C1053" s="427"/>
      <c r="D1053" s="557">
        <v>870250</v>
      </c>
      <c r="E1053" s="429">
        <f t="shared" ref="E1053:F1053" si="821">SUM(E1054)</f>
        <v>0</v>
      </c>
      <c r="F1053" s="429">
        <f t="shared" si="821"/>
        <v>0</v>
      </c>
      <c r="G1053" s="430">
        <f t="shared" ref="G1053:J1053" si="822">SUM(G1054)</f>
        <v>0</v>
      </c>
      <c r="H1053" s="431">
        <f t="shared" si="822"/>
        <v>0</v>
      </c>
      <c r="I1053" s="456">
        <f t="shared" si="822"/>
        <v>0</v>
      </c>
      <c r="J1053" s="456">
        <f t="shared" si="822"/>
        <v>0</v>
      </c>
      <c r="K1053" s="145">
        <f t="shared" si="808"/>
        <v>0</v>
      </c>
      <c r="L1053" s="145">
        <f t="shared" si="809"/>
        <v>0</v>
      </c>
      <c r="M1053" s="5"/>
      <c r="N1053" s="5"/>
      <c r="O1053" s="5"/>
      <c r="P1053" s="5"/>
      <c r="Q1053" s="139">
        <f t="shared" si="776"/>
        <v>0</v>
      </c>
    </row>
    <row r="1054" spans="1:17" ht="12.75" hidden="1" customHeight="1">
      <c r="A1054" s="385"/>
      <c r="B1054" s="386"/>
      <c r="C1054" s="387" t="s">
        <v>733</v>
      </c>
      <c r="D1054" s="388"/>
      <c r="E1054" s="406"/>
      <c r="F1054" s="406"/>
      <c r="G1054" s="390">
        <f>SUM(F1054,E1054)</f>
        <v>0</v>
      </c>
      <c r="H1054" s="398"/>
      <c r="I1054" s="448"/>
      <c r="J1054" s="448"/>
      <c r="K1054" s="145">
        <f t="shared" si="808"/>
        <v>0</v>
      </c>
      <c r="L1054" s="145">
        <f t="shared" si="809"/>
        <v>0</v>
      </c>
      <c r="M1054" s="5"/>
      <c r="N1054" s="5"/>
      <c r="O1054" s="5"/>
      <c r="P1054" s="5"/>
      <c r="Q1054" s="139">
        <f t="shared" si="776"/>
        <v>0</v>
      </c>
    </row>
    <row r="1055" spans="1:17" ht="12.75" customHeight="1">
      <c r="A1055" s="747" t="s">
        <v>962</v>
      </c>
      <c r="B1055" s="748"/>
      <c r="C1055" s="749"/>
      <c r="D1055" s="750"/>
      <c r="E1055" s="751">
        <f>SUM(E1056:E1057)</f>
        <v>-13662.000000000058</v>
      </c>
      <c r="F1055" s="751">
        <f t="shared" ref="F1055:G1055" si="823">SUM(F1056:F1057)</f>
        <v>0</v>
      </c>
      <c r="G1055" s="752">
        <f t="shared" si="823"/>
        <v>-13662.000000000058</v>
      </c>
      <c r="H1055" s="753" t="e">
        <f t="shared" ref="H1055:J1055" si="824">SUM(H1056:H1057)</f>
        <v>#REF!</v>
      </c>
      <c r="I1055" s="792" t="e">
        <f t="shared" si="824"/>
        <v>#REF!</v>
      </c>
      <c r="J1055" s="792" t="e">
        <f t="shared" si="824"/>
        <v>#REF!</v>
      </c>
      <c r="K1055" s="137">
        <f t="shared" si="808"/>
        <v>-27324.000000000116</v>
      </c>
      <c r="L1055" s="137">
        <f t="shared" si="809"/>
        <v>-13662.000000000058</v>
      </c>
      <c r="M1055" s="132"/>
      <c r="N1055" s="132"/>
      <c r="O1055" s="132"/>
      <c r="P1055" s="132"/>
      <c r="Q1055" s="139">
        <f t="shared" si="776"/>
        <v>0</v>
      </c>
    </row>
    <row r="1056" spans="1:17" ht="12.75" hidden="1" customHeight="1">
      <c r="A1056" s="754"/>
      <c r="B1056" s="755" t="s">
        <v>963</v>
      </c>
      <c r="C1056" s="756"/>
      <c r="D1056" s="757"/>
      <c r="E1056" s="758">
        <f t="shared" ref="E1056:J1056" si="825">IF(E10&gt;E614,E10-E614,0)</f>
        <v>0</v>
      </c>
      <c r="F1056" s="758">
        <f t="shared" si="825"/>
        <v>0</v>
      </c>
      <c r="G1056" s="759">
        <f t="shared" si="825"/>
        <v>0</v>
      </c>
      <c r="H1056" s="760" t="e">
        <f t="shared" si="825"/>
        <v>#REF!</v>
      </c>
      <c r="I1056" s="793" t="e">
        <f t="shared" si="825"/>
        <v>#REF!</v>
      </c>
      <c r="J1056" s="793" t="e">
        <f t="shared" si="825"/>
        <v>#REF!</v>
      </c>
      <c r="K1056" s="145">
        <f t="shared" si="808"/>
        <v>0</v>
      </c>
      <c r="L1056" s="145">
        <f t="shared" si="809"/>
        <v>0</v>
      </c>
      <c r="M1056" s="5"/>
      <c r="N1056" s="5"/>
      <c r="O1056" s="5"/>
      <c r="P1056" s="5"/>
      <c r="Q1056" s="139">
        <f t="shared" si="776"/>
        <v>0</v>
      </c>
    </row>
    <row r="1057" spans="1:19" ht="12.75" customHeight="1">
      <c r="A1057" s="747"/>
      <c r="B1057" s="761" t="s">
        <v>964</v>
      </c>
      <c r="C1057" s="762"/>
      <c r="D1057" s="763"/>
      <c r="E1057" s="764">
        <f t="shared" ref="E1057:J1057" si="826">IF(E10&lt;E614,E10-E614,0)</f>
        <v>-13662.000000000058</v>
      </c>
      <c r="F1057" s="764">
        <f t="shared" si="826"/>
        <v>0</v>
      </c>
      <c r="G1057" s="765">
        <f t="shared" si="826"/>
        <v>-13662.000000000058</v>
      </c>
      <c r="H1057" s="760" t="e">
        <f t="shared" si="826"/>
        <v>#REF!</v>
      </c>
      <c r="I1057" s="793" t="e">
        <f t="shared" si="826"/>
        <v>#REF!</v>
      </c>
      <c r="J1057" s="793" t="e">
        <f t="shared" si="826"/>
        <v>#REF!</v>
      </c>
      <c r="K1057" s="137">
        <f t="shared" si="808"/>
        <v>-27324.000000000116</v>
      </c>
      <c r="L1057" s="137">
        <f t="shared" si="809"/>
        <v>-13662.000000000058</v>
      </c>
      <c r="M1057" s="132"/>
      <c r="N1057" s="132"/>
      <c r="O1057" s="132"/>
      <c r="P1057" s="132"/>
      <c r="Q1057" s="139">
        <f t="shared" ref="Q1057:Q1066" si="827">E1057-G1057</f>
        <v>0</v>
      </c>
    </row>
    <row r="1058" spans="1:19" ht="12.75" hidden="1" customHeight="1">
      <c r="A1058" s="754" t="s">
        <v>732</v>
      </c>
      <c r="B1058" s="766"/>
      <c r="C1058" s="767"/>
      <c r="D1058" s="768"/>
      <c r="E1058" s="769">
        <f t="shared" ref="E1058:F1058" si="828">SUM(E1059:E1060)</f>
        <v>2.9103830456733704E-11</v>
      </c>
      <c r="F1058" s="769">
        <f t="shared" si="828"/>
        <v>0</v>
      </c>
      <c r="G1058" s="770">
        <f t="shared" ref="G1058" si="829">SUM(G1059:G1060)</f>
        <v>2.9103830456733704E-11</v>
      </c>
      <c r="H1058" s="753">
        <f t="shared" ref="H1058:J1058" si="830">SUM(H1059:H1060)</f>
        <v>45978</v>
      </c>
      <c r="I1058" s="792">
        <f t="shared" si="830"/>
        <v>46471</v>
      </c>
      <c r="J1058" s="792">
        <f t="shared" si="830"/>
        <v>46918</v>
      </c>
      <c r="K1058" s="145">
        <f t="shared" si="808"/>
        <v>5.8207660913467407E-11</v>
      </c>
      <c r="L1058" s="145">
        <f>E1058</f>
        <v>2.9103830456733704E-11</v>
      </c>
      <c r="M1058" s="5"/>
      <c r="N1058" s="5"/>
      <c r="O1058" s="5"/>
      <c r="P1058" s="5"/>
      <c r="Q1058" s="139">
        <f t="shared" si="827"/>
        <v>0</v>
      </c>
    </row>
    <row r="1059" spans="1:19" ht="12.75" hidden="1" customHeight="1">
      <c r="A1059" s="771"/>
      <c r="B1059" s="772"/>
      <c r="C1059" s="773" t="s">
        <v>965</v>
      </c>
      <c r="D1059" s="774"/>
      <c r="E1059" s="775">
        <f t="shared" ref="E1059:J1059" si="831">IF(E302&gt;E616,E302-E616,0)</f>
        <v>0</v>
      </c>
      <c r="F1059" s="775">
        <f t="shared" si="831"/>
        <v>0</v>
      </c>
      <c r="G1059" s="776">
        <f t="shared" si="831"/>
        <v>0</v>
      </c>
      <c r="H1059" s="777">
        <f t="shared" si="831"/>
        <v>45978</v>
      </c>
      <c r="I1059" s="794">
        <f t="shared" si="831"/>
        <v>46471</v>
      </c>
      <c r="J1059" s="794">
        <f t="shared" si="831"/>
        <v>46918</v>
      </c>
      <c r="K1059" s="145">
        <f t="shared" si="808"/>
        <v>0</v>
      </c>
      <c r="L1059" s="145">
        <f>E1059</f>
        <v>0</v>
      </c>
      <c r="M1059" s="5"/>
      <c r="N1059" s="5"/>
      <c r="O1059" s="5"/>
      <c r="P1059" s="5"/>
      <c r="Q1059" s="139">
        <f t="shared" si="827"/>
        <v>0</v>
      </c>
    </row>
    <row r="1060" spans="1:19" ht="12.75" hidden="1" customHeight="1">
      <c r="A1060" s="771"/>
      <c r="B1060" s="772"/>
      <c r="C1060" s="773" t="s">
        <v>966</v>
      </c>
      <c r="D1060" s="778"/>
      <c r="E1060" s="775">
        <f>IF(E302&gt;E616,0,E302-E616)</f>
        <v>2.9103830456733704E-11</v>
      </c>
      <c r="F1060" s="775">
        <f>IF(F302&gt;F616,0,F302-F616)</f>
        <v>0</v>
      </c>
      <c r="G1060" s="776">
        <f>IF(G302&gt;G616,0,G302-G616)</f>
        <v>2.9103830456733704E-11</v>
      </c>
      <c r="H1060" s="777">
        <f>IF(H302&lt;H616,H302-H616,0)</f>
        <v>0</v>
      </c>
      <c r="I1060" s="794">
        <f>IF(I302&lt;I616,I302-I616,0)</f>
        <v>0</v>
      </c>
      <c r="J1060" s="794">
        <f>IF(J302&lt;J616,J302-J616,0)</f>
        <v>0</v>
      </c>
      <c r="K1060" s="145">
        <f t="shared" si="808"/>
        <v>5.8207660913467407E-11</v>
      </c>
      <c r="L1060" s="145">
        <f>IF(G1060&lt;&gt;0,G1060,0)</f>
        <v>2.9103830456733704E-11</v>
      </c>
      <c r="M1060" s="5"/>
      <c r="N1060" s="5"/>
      <c r="O1060" s="5"/>
      <c r="P1060" s="5"/>
      <c r="Q1060" s="139">
        <f t="shared" si="827"/>
        <v>0</v>
      </c>
    </row>
    <row r="1061" spans="1:19" ht="12.75" customHeight="1">
      <c r="A1061" s="747" t="s">
        <v>733</v>
      </c>
      <c r="B1061" s="748"/>
      <c r="C1061" s="749"/>
      <c r="D1061" s="750"/>
      <c r="E1061" s="752">
        <f t="shared" ref="E1061:G1061" si="832">SUM(E1062:E1063)</f>
        <v>-13662</v>
      </c>
      <c r="F1061" s="751">
        <f t="shared" ref="F1061" si="833">SUM(F1062:F1063)</f>
        <v>0</v>
      </c>
      <c r="G1061" s="752">
        <f t="shared" si="832"/>
        <v>-13662</v>
      </c>
      <c r="H1061" s="753">
        <f t="shared" ref="H1061:J1061" si="834">SUM(H1062:H1063)</f>
        <v>0</v>
      </c>
      <c r="I1061" s="792">
        <f t="shared" si="834"/>
        <v>-8530</v>
      </c>
      <c r="J1061" s="792">
        <f t="shared" si="834"/>
        <v>0</v>
      </c>
      <c r="K1061" s="137">
        <f t="shared" si="808"/>
        <v>-27324</v>
      </c>
      <c r="L1061" s="137">
        <f>IF(G1061&lt;&gt;0,G1061,0)</f>
        <v>-13662</v>
      </c>
      <c r="M1061" s="132"/>
      <c r="N1061" s="132"/>
      <c r="O1061" s="132"/>
      <c r="P1061" s="132"/>
      <c r="Q1061" s="139">
        <f t="shared" si="827"/>
        <v>0</v>
      </c>
    </row>
    <row r="1062" spans="1:19" ht="12.75" hidden="1" customHeight="1">
      <c r="A1062" s="771"/>
      <c r="B1062" s="772"/>
      <c r="C1062" s="773" t="s">
        <v>965</v>
      </c>
      <c r="D1062" s="774"/>
      <c r="E1062" s="775">
        <f t="shared" ref="E1062:J1062" si="835">IF(E446&gt;E617,E446-E617,0)</f>
        <v>0</v>
      </c>
      <c r="F1062" s="775">
        <f t="shared" si="835"/>
        <v>0</v>
      </c>
      <c r="G1062" s="776">
        <f t="shared" si="835"/>
        <v>0</v>
      </c>
      <c r="H1062" s="777">
        <f t="shared" si="835"/>
        <v>0</v>
      </c>
      <c r="I1062" s="794">
        <f t="shared" si="835"/>
        <v>0</v>
      </c>
      <c r="J1062" s="794">
        <f t="shared" si="835"/>
        <v>0</v>
      </c>
      <c r="K1062" s="145">
        <f t="shared" si="808"/>
        <v>0</v>
      </c>
      <c r="L1062" s="145">
        <f>F1062+G1062</f>
        <v>0</v>
      </c>
      <c r="M1062" s="5"/>
      <c r="N1062" s="5"/>
      <c r="O1062" s="5"/>
      <c r="P1062" s="5"/>
      <c r="Q1062" s="139">
        <f t="shared" si="827"/>
        <v>0</v>
      </c>
    </row>
    <row r="1063" spans="1:19" ht="12.75" customHeight="1">
      <c r="A1063" s="779"/>
      <c r="B1063" s="780"/>
      <c r="C1063" s="781" t="s">
        <v>966</v>
      </c>
      <c r="D1063" s="782"/>
      <c r="E1063" s="783">
        <f t="shared" ref="E1063:J1063" si="836">IF(E446&lt;E617,E446-E617,0)</f>
        <v>-13662</v>
      </c>
      <c r="F1063" s="783">
        <f t="shared" si="836"/>
        <v>0</v>
      </c>
      <c r="G1063" s="784">
        <f t="shared" si="836"/>
        <v>-13662</v>
      </c>
      <c r="H1063" s="785">
        <f t="shared" si="836"/>
        <v>0</v>
      </c>
      <c r="I1063" s="795">
        <f t="shared" si="836"/>
        <v>-8530</v>
      </c>
      <c r="J1063" s="795">
        <f t="shared" si="836"/>
        <v>0</v>
      </c>
      <c r="K1063" s="137">
        <f t="shared" si="808"/>
        <v>-27324</v>
      </c>
      <c r="L1063" s="137">
        <f>IF(G1063&lt;&gt;0,G1063,0)</f>
        <v>-13662</v>
      </c>
      <c r="M1063" s="132"/>
      <c r="N1063" s="132"/>
      <c r="O1063" s="132"/>
      <c r="P1063" s="132"/>
      <c r="Q1063" s="139">
        <f t="shared" si="827"/>
        <v>0</v>
      </c>
    </row>
    <row r="1064" spans="1:19" ht="12.75" hidden="1" customHeight="1">
      <c r="B1064" s="68"/>
      <c r="C1064" s="786"/>
      <c r="D1064" s="69"/>
      <c r="E1064" s="70"/>
      <c r="F1064" s="70"/>
      <c r="G1064" s="74"/>
      <c r="H1064" s="5"/>
      <c r="I1064" s="5"/>
      <c r="J1064" s="5"/>
      <c r="K1064" s="5"/>
      <c r="L1064" s="74">
        <f>F1055</f>
        <v>0</v>
      </c>
      <c r="M1064" s="5"/>
      <c r="N1064" s="5"/>
      <c r="O1064" s="5"/>
      <c r="P1064" s="5"/>
      <c r="Q1064" s="139">
        <f t="shared" si="827"/>
        <v>0</v>
      </c>
    </row>
    <row r="1065" spans="1:19" ht="12.75" customHeight="1">
      <c r="B1065" s="68"/>
      <c r="C1065" s="786"/>
      <c r="D1065" s="787"/>
      <c r="E1065" s="70"/>
      <c r="F1065" s="70"/>
      <c r="G1065" s="134"/>
      <c r="H1065" s="5"/>
      <c r="I1065" s="5"/>
      <c r="J1065" s="5"/>
      <c r="K1065" s="132"/>
      <c r="L1065" s="134">
        <v>57708</v>
      </c>
      <c r="M1065" s="132"/>
      <c r="N1065" s="132"/>
      <c r="O1065" s="132"/>
      <c r="P1065" s="132"/>
      <c r="Q1065" s="139">
        <f t="shared" si="827"/>
        <v>0</v>
      </c>
    </row>
    <row r="1066" spans="1:19" ht="12.75" customHeight="1">
      <c r="B1066" s="68"/>
      <c r="C1066" s="786"/>
      <c r="D1066" s="69"/>
      <c r="E1066" s="70"/>
      <c r="F1066" s="70"/>
      <c r="G1066" s="134"/>
      <c r="H1066" s="5"/>
      <c r="I1066" s="5"/>
      <c r="J1066" s="5"/>
      <c r="K1066" s="132"/>
      <c r="L1066" s="134">
        <f>SUBTOTAL(9,L1064:L1065)</f>
        <v>57708</v>
      </c>
      <c r="M1066" s="132"/>
      <c r="N1066" s="132"/>
      <c r="O1066" s="132"/>
      <c r="P1066" s="132"/>
      <c r="Q1066" s="139">
        <f t="shared" si="827"/>
        <v>0</v>
      </c>
    </row>
    <row r="1067" spans="1:19" ht="12.75" hidden="1" customHeight="1">
      <c r="A1067" s="5"/>
      <c r="B1067" s="57"/>
      <c r="C1067" s="11"/>
      <c r="D1067" s="10"/>
      <c r="E1067" s="74"/>
      <c r="F1067" s="74"/>
      <c r="G1067" s="74"/>
      <c r="H1067" s="5"/>
      <c r="I1067" s="5"/>
      <c r="J1067" s="5"/>
      <c r="K1067" s="5"/>
      <c r="L1067" s="5"/>
      <c r="M1067" s="5"/>
      <c r="N1067" s="5"/>
      <c r="O1067" s="5"/>
      <c r="P1067" s="5"/>
      <c r="Q1067" s="5"/>
    </row>
    <row r="1068" spans="1:19" ht="24" customHeight="1">
      <c r="A1068" s="951" t="s">
        <v>178</v>
      </c>
      <c r="B1068" s="930"/>
      <c r="C1068" s="930"/>
      <c r="D1068" s="952" t="str">
        <f>IF($L$1="proiect","DIRECTOR EXECUTIV,","SECRETAR GENERAL AL JUDEŢULUI,")</f>
        <v>DIRECTOR EXECUTIV,</v>
      </c>
      <c r="E1068" s="930"/>
      <c r="F1068" s="930"/>
      <c r="G1068" s="953"/>
      <c r="H1068" s="788"/>
      <c r="I1068" s="788"/>
      <c r="J1068" s="788"/>
      <c r="K1068" s="335"/>
      <c r="L1068" s="335"/>
      <c r="M1068" s="335"/>
      <c r="N1068" s="335"/>
      <c r="O1068" s="335"/>
      <c r="P1068" s="335"/>
      <c r="Q1068" s="172">
        <f t="shared" ref="Q1068:Q1078" si="837">E1068-G1068</f>
        <v>0</v>
      </c>
      <c r="S1068" s="809"/>
    </row>
    <row r="1069" spans="1:19" ht="12.75" customHeight="1">
      <c r="A1069" s="954" t="s">
        <v>179</v>
      </c>
      <c r="B1069" s="930"/>
      <c r="C1069" s="930"/>
      <c r="D1069" s="955" t="str">
        <f>IF($L$1="proiect","Balogh Arnold István","Crasnai Mihaela Elena Ana ")</f>
        <v>Balogh Arnold István</v>
      </c>
      <c r="E1069" s="930"/>
      <c r="F1069" s="930"/>
      <c r="G1069" s="953"/>
      <c r="H1069" s="58"/>
      <c r="I1069" s="58"/>
      <c r="J1069" s="58"/>
      <c r="K1069" s="5"/>
      <c r="L1069" s="5"/>
      <c r="M1069" s="5"/>
      <c r="N1069" s="5"/>
      <c r="O1069" s="5"/>
      <c r="P1069" s="5"/>
      <c r="Q1069" s="172">
        <f t="shared" si="837"/>
        <v>0</v>
      </c>
    </row>
    <row r="1070" spans="1:19" ht="12.75" customHeight="1">
      <c r="A1070" s="75"/>
      <c r="B1070" s="75"/>
      <c r="C1070" s="75"/>
      <c r="D1070" s="79"/>
      <c r="E1070" s="79"/>
      <c r="F1070" s="79"/>
      <c r="G1070" s="789"/>
      <c r="H1070" s="58"/>
      <c r="I1070" s="58"/>
      <c r="J1070" s="58"/>
      <c r="K1070" s="5"/>
      <c r="L1070" s="5"/>
      <c r="M1070" s="5"/>
      <c r="N1070" s="5"/>
      <c r="O1070" s="5"/>
      <c r="P1070" s="5"/>
      <c r="Q1070" s="172">
        <f t="shared" si="837"/>
        <v>0</v>
      </c>
    </row>
    <row r="1071" spans="1:19" ht="12.75" customHeight="1">
      <c r="A1071" s="75"/>
      <c r="B1071" s="75"/>
      <c r="C1071" s="75"/>
      <c r="D1071" s="79"/>
      <c r="E1071" s="79"/>
      <c r="F1071" s="79"/>
      <c r="G1071" s="789"/>
      <c r="H1071" s="58"/>
      <c r="I1071" s="58"/>
      <c r="J1071" s="58"/>
      <c r="K1071" s="5"/>
      <c r="L1071" s="796">
        <f>F1055+F1065</f>
        <v>0</v>
      </c>
      <c r="M1071" s="5"/>
      <c r="N1071" s="5"/>
      <c r="O1071" s="5"/>
      <c r="P1071" s="5"/>
      <c r="Q1071" s="172">
        <f t="shared" si="837"/>
        <v>0</v>
      </c>
    </row>
    <row r="1072" spans="1:19" ht="12.75" customHeight="1">
      <c r="B1072" s="75"/>
      <c r="C1072" s="77"/>
      <c r="D1072" s="78"/>
      <c r="E1072" s="79"/>
      <c r="F1072" s="79"/>
      <c r="G1072" s="74"/>
      <c r="H1072" s="5"/>
      <c r="I1072" s="5"/>
      <c r="J1072" s="5"/>
      <c r="K1072" s="5"/>
      <c r="L1072" s="5"/>
      <c r="M1072" s="5"/>
      <c r="N1072" s="5"/>
      <c r="O1072" s="5"/>
      <c r="P1072" s="5"/>
      <c r="Q1072" s="172">
        <f t="shared" si="837"/>
        <v>0</v>
      </c>
    </row>
    <row r="1073" spans="1:17" ht="12.75" customHeight="1">
      <c r="C1073" s="786"/>
      <c r="D1073" s="952" t="str">
        <f>IF($L$1="proiect","ȘEF SERVICIU,","")</f>
        <v>ȘEF SERVICIU,</v>
      </c>
      <c r="E1073" s="930"/>
      <c r="F1073" s="930"/>
      <c r="G1073" s="953"/>
      <c r="H1073" s="58"/>
      <c r="I1073" s="58"/>
      <c r="J1073" s="58"/>
      <c r="K1073" s="5"/>
      <c r="L1073" s="5"/>
      <c r="M1073" s="5"/>
      <c r="N1073" s="5"/>
      <c r="O1073" s="5"/>
      <c r="P1073" s="5"/>
      <c r="Q1073" s="172">
        <f t="shared" si="837"/>
        <v>0</v>
      </c>
    </row>
    <row r="1074" spans="1:17" ht="12.75" customHeight="1">
      <c r="A1074" s="790" t="s">
        <v>967</v>
      </c>
      <c r="C1074" s="786"/>
      <c r="D1074" s="955" t="str">
        <f>IF($L$1="proiect","Sorana Czumbil","")</f>
        <v>Sorana Czumbil</v>
      </c>
      <c r="E1074" s="930"/>
      <c r="F1074" s="930"/>
      <c r="G1074" s="953"/>
      <c r="H1074" s="58"/>
      <c r="I1074" s="58"/>
      <c r="J1074" s="58"/>
      <c r="K1074" s="5"/>
      <c r="L1074" s="5">
        <v>-13661.997000000003</v>
      </c>
      <c r="M1074" s="5"/>
      <c r="N1074" s="5"/>
      <c r="O1074" s="5"/>
      <c r="P1074" s="5"/>
      <c r="Q1074" s="172">
        <f t="shared" si="837"/>
        <v>0</v>
      </c>
    </row>
    <row r="1075" spans="1:17" ht="12.75" customHeight="1">
      <c r="A1075" s="790" t="s">
        <v>181</v>
      </c>
      <c r="C1075" s="786"/>
      <c r="D1075" s="79"/>
      <c r="E1075" s="79"/>
      <c r="F1075" s="79"/>
      <c r="G1075" s="789"/>
      <c r="H1075" s="58"/>
      <c r="I1075" s="58"/>
      <c r="J1075" s="58"/>
      <c r="K1075" s="5"/>
      <c r="L1075" s="74">
        <f>E1055-L1074</f>
        <v>-3.0000000551808625E-3</v>
      </c>
      <c r="M1075" s="5"/>
      <c r="N1075" s="5"/>
      <c r="O1075" s="5"/>
      <c r="P1075" s="5"/>
      <c r="Q1075" s="172">
        <f t="shared" si="837"/>
        <v>0</v>
      </c>
    </row>
    <row r="1076" spans="1:17" ht="12.75" customHeight="1">
      <c r="B1076" s="68"/>
      <c r="D1076" s="69"/>
      <c r="E1076" s="70"/>
      <c r="F1076" s="70"/>
      <c r="G1076" s="74"/>
      <c r="H1076" s="5"/>
      <c r="I1076" s="5"/>
      <c r="J1076" s="5"/>
      <c r="K1076" s="5"/>
      <c r="L1076" s="5"/>
      <c r="M1076" s="5"/>
      <c r="N1076" s="5"/>
      <c r="O1076" s="5"/>
      <c r="P1076" s="5"/>
      <c r="Q1076" s="172">
        <f t="shared" si="837"/>
        <v>0</v>
      </c>
    </row>
    <row r="1077" spans="1:17" ht="12.75" customHeight="1">
      <c r="B1077" s="68"/>
      <c r="C1077" s="70"/>
      <c r="D1077" s="69"/>
      <c r="E1077" s="70"/>
      <c r="F1077" s="70"/>
      <c r="G1077" s="74"/>
      <c r="H1077" s="72"/>
      <c r="I1077" s="72"/>
      <c r="J1077" s="72"/>
      <c r="K1077" s="5"/>
      <c r="L1077" s="5"/>
      <c r="M1077" s="5"/>
      <c r="N1077" s="5"/>
      <c r="O1077" s="5"/>
      <c r="P1077" s="5"/>
      <c r="Q1077" s="172">
        <f t="shared" si="837"/>
        <v>0</v>
      </c>
    </row>
    <row r="1078" spans="1:17" ht="12.75" customHeight="1">
      <c r="B1078" s="68"/>
      <c r="C1078" s="70"/>
      <c r="D1078" s="69"/>
      <c r="E1078" s="70"/>
      <c r="F1078" s="70"/>
      <c r="G1078" s="74"/>
      <c r="H1078" s="72"/>
      <c r="I1078" s="72"/>
      <c r="J1078" s="72"/>
      <c r="K1078" s="5"/>
      <c r="L1078" s="5"/>
      <c r="M1078" s="5"/>
      <c r="N1078" s="5"/>
      <c r="O1078" s="5"/>
      <c r="P1078" s="5"/>
      <c r="Q1078" s="172">
        <f t="shared" si="837"/>
        <v>0</v>
      </c>
    </row>
  </sheetData>
  <autoFilter ref="A10:AJ1065" xr:uid="{00000000-0009-0000-0000-000001000000}">
    <filterColumn colId="11">
      <filters blank="1">
        <filter val=",,Green Cross-border Region”, acronim GCBR"/>
        <filter val="1.000"/>
        <filter val="-1.000"/>
        <filter val="1.019"/>
        <filter val="-1.152"/>
        <filter val="1.235"/>
        <filter val="1.273"/>
        <filter val="1.300"/>
        <filter val="1.336"/>
        <filter val="1.378"/>
        <filter val="1.383"/>
        <filter val="1.400"/>
        <filter val="1.449"/>
        <filter val="1.476"/>
        <filter val="1.500"/>
        <filter val="1.583"/>
        <filter val="1.597"/>
        <filter val="1.612"/>
        <filter val="1.623"/>
        <filter val="1.800"/>
        <filter val="1.902"/>
        <filter val="1.989"/>
        <filter val="101.379"/>
        <filter val="102.976"/>
        <filter val="107.609"/>
        <filter val="107.684"/>
        <filter val="109.192"/>
        <filter val="11"/>
        <filter val="110.231"/>
        <filter val="111.542"/>
        <filter val="113"/>
        <filter val="114.509"/>
        <filter val="117.010"/>
        <filter val="117.436"/>
        <filter val="119"/>
        <filter val="119.033"/>
        <filter val="12"/>
        <filter val="12.400"/>
        <filter val="12.535"/>
        <filter val="121"/>
        <filter val="122.886"/>
        <filter val="13.154"/>
        <filter val="-13.662"/>
        <filter val="13.770"/>
        <filter val="14.157"/>
        <filter val="14.959"/>
        <filter val="140.055"/>
        <filter val="148"/>
        <filter val="15.202"/>
        <filter val="15.248"/>
        <filter val="15.508"/>
        <filter val="15.852"/>
        <filter val="150"/>
        <filter val="-152"/>
        <filter val="156.969"/>
        <filter val="16.267"/>
        <filter val="16.317"/>
        <filter val="16.382"/>
        <filter val="16.400"/>
        <filter val="172.217"/>
        <filter val="18.129"/>
        <filter val="186.055"/>
        <filter val="19.196"/>
        <filter val="191.290"/>
        <filter val="194.432"/>
        <filter val="2.000"/>
        <filter val="2.053"/>
        <filter val="2.088"/>
        <filter val="2.168"/>
        <filter val="2.254"/>
        <filter val="2.395"/>
        <filter val="2.427"/>
        <filter val="2.500"/>
        <filter val="2.676"/>
        <filter val="2.681"/>
        <filter val="2.700"/>
        <filter val="2.743"/>
        <filter val="2.981"/>
        <filter val="20.762"/>
        <filter val="200"/>
        <filter val="204"/>
        <filter val="214.518"/>
        <filter val="218"/>
        <filter val="218.815"/>
        <filter val="22"/>
        <filter val="222"/>
        <filter val="23.110"/>
        <filter val="23.183"/>
        <filter val="23.356"/>
        <filter val="243"/>
        <filter val="25.193"/>
        <filter val="25.720"/>
        <filter val="25.790"/>
        <filter val="25.827"/>
        <filter val="250"/>
        <filter val="257.499"/>
        <filter val="26.238"/>
        <filter val="27.231"/>
        <filter val="271.161"/>
        <filter val="-28.463"/>
        <filter val="3.000"/>
        <filter val="3.096"/>
        <filter val="3.133"/>
        <filter val="3.363"/>
        <filter val="3.432"/>
        <filter val="3.500"/>
        <filter val="3.700"/>
        <filter val="3.729"/>
        <filter val="3.933"/>
        <filter val="-30.365"/>
        <filter val="300"/>
        <filter val="31.877"/>
        <filter val="32.162"/>
        <filter val="32.760"/>
        <filter val="-32.760"/>
        <filter val="-32759,8"/>
        <filter val="351"/>
        <filter val="359"/>
        <filter val="36.977"/>
        <filter val="37.681"/>
        <filter val="383"/>
        <filter val="39"/>
        <filter val="39.958"/>
        <filter val="-4"/>
        <filter val="4.000"/>
        <filter val="4.012"/>
        <filter val="4.068"/>
        <filter val="4.283"/>
        <filter val="4.297"/>
        <filter val="4.445"/>
        <filter val="4.473"/>
        <filter val="40.716"/>
        <filter val="400"/>
        <filter val="41.085"/>
        <filter val="41.228"/>
        <filter val="42.358"/>
        <filter val="439"/>
        <filter val="44.628"/>
        <filter val="451"/>
        <filter val="46.608"/>
        <filter val="460"/>
        <filter val="465.593"/>
        <filter val="47.998"/>
        <filter val="48.261"/>
        <filter val="49.628"/>
        <filter val="500"/>
        <filter val="502"/>
        <filter val="51.004"/>
        <filter val="540"/>
        <filter val="56.128"/>
        <filter val="57.117"/>
        <filter val="57.708,00"/>
        <filter val="570"/>
        <filter val="571"/>
        <filter val="59.919"/>
        <filter val="6.000"/>
        <filter val="6.366"/>
        <filter val="6.500"/>
        <filter val="6.634"/>
        <filter val="6.789"/>
        <filter val="6.801"/>
        <filter val="60"/>
        <filter val="633"/>
        <filter val="7.000"/>
        <filter val="7.150"/>
        <filter val="7.206"/>
        <filter val="70"/>
        <filter val="-70"/>
        <filter val="70.826"/>
        <filter val="704"/>
        <filter val="766"/>
        <filter val="768"/>
        <filter val="8.060"/>
        <filter val="8.081"/>
        <filter val="8.377"/>
        <filter val="8.460"/>
        <filter val="8.521"/>
        <filter val="800"/>
        <filter val="83"/>
        <filter val="839"/>
        <filter val="84.851"/>
        <filter val="852"/>
        <filter val="86.840"/>
        <filter val="87.527"/>
        <filter val="89"/>
        <filter val="89.516"/>
        <filter val="9.119"/>
        <filter val="948"/>
        <filter val="96.651"/>
        <filter val="99.307"/>
        <filter val="Alte amenzi, penalitati si confiscari"/>
        <filter val="Climate Synergy"/>
        <filter val="Finantare publica naționala"/>
        <filter val="Rambursare imprumut Trezoreria Statului cf. OUG nr.24/2023 _x000a_(alin. 8104)"/>
        <filter val="Rambursare imprumut Trezoreria Statului cf. OUG nr.92/2023 _x000a_(alin. 8104)"/>
        <filter val="Secţiunea de dezvoltare"/>
        <filter val="Subventii primite de la bugetul de stat pentru finantarea unor programe de interes national (42.02.51.01+42.02.51.02)"/>
        <filter val="Subventii primite de la bugetul de stat pentru finantarea unor programe de interes national, destinate sectiunii de dezvoltare a bugetului local"/>
        <filter val="Sume aferente TVA"/>
        <filter val="titl. 58 - cheltuieli neeligibile"/>
        <filter val="x"/>
      </filters>
    </filterColumn>
  </autoFilter>
  <mergeCells count="442">
    <mergeCell ref="A5:G5"/>
    <mergeCell ref="A8:C8"/>
    <mergeCell ref="A9:C9"/>
    <mergeCell ref="A10:C10"/>
    <mergeCell ref="A11:C11"/>
    <mergeCell ref="A12:C12"/>
    <mergeCell ref="A13:C13"/>
    <mergeCell ref="A14:C14"/>
    <mergeCell ref="A15:C15"/>
    <mergeCell ref="A16:C16"/>
    <mergeCell ref="B17:C17"/>
    <mergeCell ref="A18:C18"/>
    <mergeCell ref="A19:C19"/>
    <mergeCell ref="B20:C20"/>
    <mergeCell ref="B21:C21"/>
    <mergeCell ref="A22:C22"/>
    <mergeCell ref="B23:C23"/>
    <mergeCell ref="B24:C24"/>
    <mergeCell ref="B25:C25"/>
    <mergeCell ref="A26:C26"/>
    <mergeCell ref="A27:C27"/>
    <mergeCell ref="B28:C28"/>
    <mergeCell ref="A29:C29"/>
    <mergeCell ref="B30:C30"/>
    <mergeCell ref="A31:C31"/>
    <mergeCell ref="A32:C32"/>
    <mergeCell ref="B33:C33"/>
    <mergeCell ref="B36:C36"/>
    <mergeCell ref="B40:C40"/>
    <mergeCell ref="B41:C41"/>
    <mergeCell ref="A42:C42"/>
    <mergeCell ref="A43:C43"/>
    <mergeCell ref="B44:C44"/>
    <mergeCell ref="B63:C63"/>
    <mergeCell ref="B64:C64"/>
    <mergeCell ref="B65:C65"/>
    <mergeCell ref="B66:C66"/>
    <mergeCell ref="A67:C67"/>
    <mergeCell ref="B68:C68"/>
    <mergeCell ref="A69:C69"/>
    <mergeCell ref="B70:C70"/>
    <mergeCell ref="B71:C71"/>
    <mergeCell ref="A72:C72"/>
    <mergeCell ref="B73:C73"/>
    <mergeCell ref="B76:C76"/>
    <mergeCell ref="B77:C77"/>
    <mergeCell ref="A78:C78"/>
    <mergeCell ref="A79:C79"/>
    <mergeCell ref="B80:C80"/>
    <mergeCell ref="A81:C81"/>
    <mergeCell ref="A82:C82"/>
    <mergeCell ref="A83:C83"/>
    <mergeCell ref="B84:C84"/>
    <mergeCell ref="B85:C85"/>
    <mergeCell ref="B88:C88"/>
    <mergeCell ref="B90:C90"/>
    <mergeCell ref="A91:C91"/>
    <mergeCell ref="B92:C92"/>
    <mergeCell ref="A93:C93"/>
    <mergeCell ref="A94:C94"/>
    <mergeCell ref="B95:C95"/>
    <mergeCell ref="B96:C96"/>
    <mergeCell ref="B97:C97"/>
    <mergeCell ref="B98:C98"/>
    <mergeCell ref="B99:C99"/>
    <mergeCell ref="B100:C100"/>
    <mergeCell ref="B101:C101"/>
    <mergeCell ref="A102:C102"/>
    <mergeCell ref="B103:C103"/>
    <mergeCell ref="B104:C104"/>
    <mergeCell ref="A105:C105"/>
    <mergeCell ref="B106:C106"/>
    <mergeCell ref="B107:C107"/>
    <mergeCell ref="B108:C108"/>
    <mergeCell ref="B109:C109"/>
    <mergeCell ref="A110:C110"/>
    <mergeCell ref="B111:C111"/>
    <mergeCell ref="B112:C112"/>
    <mergeCell ref="B113:C113"/>
    <mergeCell ref="B114:C114"/>
    <mergeCell ref="B115:C115"/>
    <mergeCell ref="B116:C116"/>
    <mergeCell ref="B117:C117"/>
    <mergeCell ref="A118:C118"/>
    <mergeCell ref="B119:C119"/>
    <mergeCell ref="B120:C120"/>
    <mergeCell ref="B121:C121"/>
    <mergeCell ref="B122:C122"/>
    <mergeCell ref="B123:C123"/>
    <mergeCell ref="A124:C124"/>
    <mergeCell ref="B125:C125"/>
    <mergeCell ref="B126:C126"/>
    <mergeCell ref="B127:C127"/>
    <mergeCell ref="B128:C128"/>
    <mergeCell ref="B129:C129"/>
    <mergeCell ref="B130:C130"/>
    <mergeCell ref="A131:C131"/>
    <mergeCell ref="A132:C132"/>
    <mergeCell ref="B133:C133"/>
    <mergeCell ref="B134:C134"/>
    <mergeCell ref="B135:C135"/>
    <mergeCell ref="B136:C136"/>
    <mergeCell ref="B137:C137"/>
    <mergeCell ref="B138:C138"/>
    <mergeCell ref="B139:C139"/>
    <mergeCell ref="B140:C140"/>
    <mergeCell ref="A141:C141"/>
    <mergeCell ref="A142:C142"/>
    <mergeCell ref="A143:C143"/>
    <mergeCell ref="A144:C144"/>
    <mergeCell ref="B145:C145"/>
    <mergeCell ref="B146:C146"/>
    <mergeCell ref="B147:C147"/>
    <mergeCell ref="B148:C148"/>
    <mergeCell ref="B149:C149"/>
    <mergeCell ref="B150:C150"/>
    <mergeCell ref="B151:C151"/>
    <mergeCell ref="B155:C155"/>
    <mergeCell ref="B156:C156"/>
    <mergeCell ref="B157:C157"/>
    <mergeCell ref="B158:C158"/>
    <mergeCell ref="B159:C159"/>
    <mergeCell ref="B160:C160"/>
    <mergeCell ref="B164:C164"/>
    <mergeCell ref="B165:C165"/>
    <mergeCell ref="B169:C169"/>
    <mergeCell ref="B170:C170"/>
    <mergeCell ref="A171:C171"/>
    <mergeCell ref="B172:C172"/>
    <mergeCell ref="B173:C173"/>
    <mergeCell ref="B174:C174"/>
    <mergeCell ref="B175:C175"/>
    <mergeCell ref="B176:C176"/>
    <mergeCell ref="B177:C177"/>
    <mergeCell ref="B178:C178"/>
    <mergeCell ref="B179:C179"/>
    <mergeCell ref="B180:C180"/>
    <mergeCell ref="B181:C181"/>
    <mergeCell ref="B182:C182"/>
    <mergeCell ref="B183:C183"/>
    <mergeCell ref="B184:C184"/>
    <mergeCell ref="B185:C185"/>
    <mergeCell ref="B186:C186"/>
    <mergeCell ref="B187:C187"/>
    <mergeCell ref="B190:C190"/>
    <mergeCell ref="B191:C191"/>
    <mergeCell ref="B192:C192"/>
    <mergeCell ref="B193:C193"/>
    <mergeCell ref="B196:C196"/>
    <mergeCell ref="B197:C197"/>
    <mergeCell ref="B198:C198"/>
    <mergeCell ref="B199:C199"/>
    <mergeCell ref="B200:C200"/>
    <mergeCell ref="B204:C204"/>
    <mergeCell ref="A206:C206"/>
    <mergeCell ref="B207:C207"/>
    <mergeCell ref="B208:C208"/>
    <mergeCell ref="B209:C209"/>
    <mergeCell ref="B210:C210"/>
    <mergeCell ref="B211:C211"/>
    <mergeCell ref="A216:C216"/>
    <mergeCell ref="B217:C217"/>
    <mergeCell ref="B212:C212"/>
    <mergeCell ref="B222:C222"/>
    <mergeCell ref="B227:C227"/>
    <mergeCell ref="B231:C231"/>
    <mergeCell ref="B235:C235"/>
    <mergeCell ref="B239:C239"/>
    <mergeCell ref="B243:C243"/>
    <mergeCell ref="B248:C248"/>
    <mergeCell ref="B252:C252"/>
    <mergeCell ref="B256:C256"/>
    <mergeCell ref="B260:C260"/>
    <mergeCell ref="A264:C264"/>
    <mergeCell ref="B265:C265"/>
    <mergeCell ref="A266:C266"/>
    <mergeCell ref="B267:C267"/>
    <mergeCell ref="B271:C271"/>
    <mergeCell ref="B275:C275"/>
    <mergeCell ref="B279:C279"/>
    <mergeCell ref="B283:C283"/>
    <mergeCell ref="B287:C287"/>
    <mergeCell ref="B291:C291"/>
    <mergeCell ref="B295:C295"/>
    <mergeCell ref="B298:C298"/>
    <mergeCell ref="A302:C302"/>
    <mergeCell ref="A303:C303"/>
    <mergeCell ref="A304:C304"/>
    <mergeCell ref="A305:C305"/>
    <mergeCell ref="A306:C306"/>
    <mergeCell ref="A307:C307"/>
    <mergeCell ref="A308:C308"/>
    <mergeCell ref="B309:C309"/>
    <mergeCell ref="A310:C310"/>
    <mergeCell ref="A311:C311"/>
    <mergeCell ref="B312:C312"/>
    <mergeCell ref="B313:C313"/>
    <mergeCell ref="A314:C314"/>
    <mergeCell ref="B315:C315"/>
    <mergeCell ref="B316:C316"/>
    <mergeCell ref="B317:C317"/>
    <mergeCell ref="A318:C318"/>
    <mergeCell ref="A319:C319"/>
    <mergeCell ref="B320:C320"/>
    <mergeCell ref="A321:C321"/>
    <mergeCell ref="B322:C322"/>
    <mergeCell ref="A323:C323"/>
    <mergeCell ref="A324:C324"/>
    <mergeCell ref="B325:C325"/>
    <mergeCell ref="B328:C328"/>
    <mergeCell ref="B332:C332"/>
    <mergeCell ref="B333:C333"/>
    <mergeCell ref="A334:C334"/>
    <mergeCell ref="A335:C335"/>
    <mergeCell ref="B336:C336"/>
    <mergeCell ref="B355:C355"/>
    <mergeCell ref="B356:C356"/>
    <mergeCell ref="B357:C357"/>
    <mergeCell ref="A358:C358"/>
    <mergeCell ref="B359:C359"/>
    <mergeCell ref="A360:C360"/>
    <mergeCell ref="B361:C361"/>
    <mergeCell ref="B362:C362"/>
    <mergeCell ref="A363:C363"/>
    <mergeCell ref="B364:C364"/>
    <mergeCell ref="B367:C367"/>
    <mergeCell ref="B368:C368"/>
    <mergeCell ref="A369:C369"/>
    <mergeCell ref="A370:C370"/>
    <mergeCell ref="B371:C371"/>
    <mergeCell ref="A372:C372"/>
    <mergeCell ref="A373:C373"/>
    <mergeCell ref="A374:C374"/>
    <mergeCell ref="B375:C375"/>
    <mergeCell ref="B376:C376"/>
    <mergeCell ref="B379:C379"/>
    <mergeCell ref="B381:C381"/>
    <mergeCell ref="A382:C382"/>
    <mergeCell ref="B383:C383"/>
    <mergeCell ref="A384:C384"/>
    <mergeCell ref="A385:C385"/>
    <mergeCell ref="B386:C386"/>
    <mergeCell ref="B387:C387"/>
    <mergeCell ref="B388:C388"/>
    <mergeCell ref="B389:C389"/>
    <mergeCell ref="B390:C390"/>
    <mergeCell ref="B391:C391"/>
    <mergeCell ref="B392:C392"/>
    <mergeCell ref="A393:C393"/>
    <mergeCell ref="B394:C394"/>
    <mergeCell ref="B395:C395"/>
    <mergeCell ref="A396:C396"/>
    <mergeCell ref="B397:C397"/>
    <mergeCell ref="B398:C398"/>
    <mergeCell ref="B399:C399"/>
    <mergeCell ref="B400:C400"/>
    <mergeCell ref="A401:C401"/>
    <mergeCell ref="B402:C402"/>
    <mergeCell ref="B403:C403"/>
    <mergeCell ref="B404:C404"/>
    <mergeCell ref="B405:C405"/>
    <mergeCell ref="B406:C406"/>
    <mergeCell ref="A407:C407"/>
    <mergeCell ref="B408:C408"/>
    <mergeCell ref="B409:C409"/>
    <mergeCell ref="B410:C410"/>
    <mergeCell ref="A411:C411"/>
    <mergeCell ref="A412:C412"/>
    <mergeCell ref="B413:C413"/>
    <mergeCell ref="B414:C414"/>
    <mergeCell ref="B415:C415"/>
    <mergeCell ref="B416:C416"/>
    <mergeCell ref="B417:C417"/>
    <mergeCell ref="A418:C418"/>
    <mergeCell ref="A419:C419"/>
    <mergeCell ref="A420:C420"/>
    <mergeCell ref="A421:C421"/>
    <mergeCell ref="B422:C422"/>
    <mergeCell ref="B423:C423"/>
    <mergeCell ref="B424:C424"/>
    <mergeCell ref="B425:C425"/>
    <mergeCell ref="B426:C426"/>
    <mergeCell ref="B427:C427"/>
    <mergeCell ref="B428:C428"/>
    <mergeCell ref="B429:C429"/>
    <mergeCell ref="B430:C430"/>
    <mergeCell ref="B431:C431"/>
    <mergeCell ref="B432:C432"/>
    <mergeCell ref="B433:C433"/>
    <mergeCell ref="B434:C434"/>
    <mergeCell ref="B435:C435"/>
    <mergeCell ref="B436:C436"/>
    <mergeCell ref="B438:C438"/>
    <mergeCell ref="B440:C440"/>
    <mergeCell ref="A441:C441"/>
    <mergeCell ref="B442:C442"/>
    <mergeCell ref="B443:C443"/>
    <mergeCell ref="B444:C444"/>
    <mergeCell ref="B445:C445"/>
    <mergeCell ref="A446:C446"/>
    <mergeCell ref="A447:C447"/>
    <mergeCell ref="A448:C448"/>
    <mergeCell ref="A449:C449"/>
    <mergeCell ref="A450:C450"/>
    <mergeCell ref="A451:C451"/>
    <mergeCell ref="B452:C452"/>
    <mergeCell ref="A453:C453"/>
    <mergeCell ref="A454:C454"/>
    <mergeCell ref="A455:C455"/>
    <mergeCell ref="B456:C456"/>
    <mergeCell ref="B457:C457"/>
    <mergeCell ref="A458:C458"/>
    <mergeCell ref="A461:C461"/>
    <mergeCell ref="B462:C462"/>
    <mergeCell ref="B463:C463"/>
    <mergeCell ref="B464:C464"/>
    <mergeCell ref="B465:C465"/>
    <mergeCell ref="B466:C466"/>
    <mergeCell ref="B467:C467"/>
    <mergeCell ref="A468:C468"/>
    <mergeCell ref="A469:C469"/>
    <mergeCell ref="B470:C470"/>
    <mergeCell ref="B471:C471"/>
    <mergeCell ref="B472:C472"/>
    <mergeCell ref="A473:C473"/>
    <mergeCell ref="A474:C474"/>
    <mergeCell ref="A475:C475"/>
    <mergeCell ref="A476:C476"/>
    <mergeCell ref="B481:C481"/>
    <mergeCell ref="B482:C482"/>
    <mergeCell ref="B483:C483"/>
    <mergeCell ref="B487:C487"/>
    <mergeCell ref="B488:C488"/>
    <mergeCell ref="B489:C489"/>
    <mergeCell ref="B490:C490"/>
    <mergeCell ref="B491:C491"/>
    <mergeCell ref="B492:C492"/>
    <mergeCell ref="B496:C496"/>
    <mergeCell ref="B497:C497"/>
    <mergeCell ref="B501:C501"/>
    <mergeCell ref="B502:C502"/>
    <mergeCell ref="B504:C504"/>
    <mergeCell ref="B505:C505"/>
    <mergeCell ref="B506:C506"/>
    <mergeCell ref="B507:C507"/>
    <mergeCell ref="B508:C508"/>
    <mergeCell ref="B510:C510"/>
    <mergeCell ref="B511:C511"/>
    <mergeCell ref="B512:C512"/>
    <mergeCell ref="B513:C513"/>
    <mergeCell ref="B517:C517"/>
    <mergeCell ref="A519:C519"/>
    <mergeCell ref="B520:C520"/>
    <mergeCell ref="B525:C525"/>
    <mergeCell ref="A526:C526"/>
    <mergeCell ref="B527:C527"/>
    <mergeCell ref="B532:C532"/>
    <mergeCell ref="B537:C537"/>
    <mergeCell ref="B541:C541"/>
    <mergeCell ref="B545:C545"/>
    <mergeCell ref="B549:C549"/>
    <mergeCell ref="B521:C521"/>
    <mergeCell ref="B553:C553"/>
    <mergeCell ref="B558:C558"/>
    <mergeCell ref="B562:C562"/>
    <mergeCell ref="B566:C566"/>
    <mergeCell ref="B570:C570"/>
    <mergeCell ref="A574:C574"/>
    <mergeCell ref="B575:C575"/>
    <mergeCell ref="A576:C576"/>
    <mergeCell ref="B577:C577"/>
    <mergeCell ref="B581:C581"/>
    <mergeCell ref="B585:C585"/>
    <mergeCell ref="B589:C589"/>
    <mergeCell ref="B593:C593"/>
    <mergeCell ref="B597:C597"/>
    <mergeCell ref="B601:C601"/>
    <mergeCell ref="B605:C605"/>
    <mergeCell ref="B608:C608"/>
    <mergeCell ref="A612:C612"/>
    <mergeCell ref="B640:C640"/>
    <mergeCell ref="B643:C643"/>
    <mergeCell ref="B644:C644"/>
    <mergeCell ref="A672:C672"/>
    <mergeCell ref="A688:C688"/>
    <mergeCell ref="A693:C693"/>
    <mergeCell ref="A697:C697"/>
    <mergeCell ref="A700:C700"/>
    <mergeCell ref="B624:C624"/>
    <mergeCell ref="B626:C626"/>
    <mergeCell ref="B627:C627"/>
    <mergeCell ref="B628:C628"/>
    <mergeCell ref="B635:C635"/>
    <mergeCell ref="B636:C636"/>
    <mergeCell ref="B637:C637"/>
    <mergeCell ref="B638:C638"/>
    <mergeCell ref="B639:C639"/>
    <mergeCell ref="A738:C738"/>
    <mergeCell ref="A744:C744"/>
    <mergeCell ref="A751:C751"/>
    <mergeCell ref="A789:C789"/>
    <mergeCell ref="A792:C792"/>
    <mergeCell ref="A850:C850"/>
    <mergeCell ref="A854:C854"/>
    <mergeCell ref="A877:C877"/>
    <mergeCell ref="A879:C879"/>
    <mergeCell ref="A886:C886"/>
    <mergeCell ref="A906:C906"/>
    <mergeCell ref="A910:C910"/>
    <mergeCell ref="B911:C911"/>
    <mergeCell ref="B914:C914"/>
    <mergeCell ref="A917:C917"/>
    <mergeCell ref="B918:C918"/>
    <mergeCell ref="A921:C921"/>
    <mergeCell ref="B922:C922"/>
    <mergeCell ref="B925:C925"/>
    <mergeCell ref="B929:C929"/>
    <mergeCell ref="B931:C931"/>
    <mergeCell ref="B933:C933"/>
    <mergeCell ref="A936:C936"/>
    <mergeCell ref="A940:C940"/>
    <mergeCell ref="A947:C947"/>
    <mergeCell ref="B950:C950"/>
    <mergeCell ref="B952:C952"/>
    <mergeCell ref="B961:C961"/>
    <mergeCell ref="B962:C962"/>
    <mergeCell ref="B963:C963"/>
    <mergeCell ref="B964:C964"/>
    <mergeCell ref="B965:C965"/>
    <mergeCell ref="A967:C967"/>
    <mergeCell ref="A978:C978"/>
    <mergeCell ref="A987:C987"/>
    <mergeCell ref="A990:C990"/>
    <mergeCell ref="A1018:C1018"/>
    <mergeCell ref="A1029:C1029"/>
    <mergeCell ref="A1031:C1031"/>
    <mergeCell ref="A1068:C1068"/>
    <mergeCell ref="D1068:G1068"/>
    <mergeCell ref="A1069:C1069"/>
    <mergeCell ref="D1069:G1069"/>
    <mergeCell ref="D1073:G1073"/>
    <mergeCell ref="D1074:G1074"/>
  </mergeCells>
  <phoneticPr fontId="60" type="noConversion"/>
  <printOptions horizontalCentered="1"/>
  <pageMargins left="0.511811023622047" right="0.511811023622047" top="0.55118110236220497" bottom="0.35433070866141703" header="0" footer="0"/>
  <pageSetup paperSize="9" scale="80" orientation="portrait" r:id="rId1"/>
  <headerFooter>
    <oddFooter>&amp;C&amp;P</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127"/>
  <sheetViews>
    <sheetView topLeftCell="A7" workbookViewId="0">
      <pane xSplit="3" ySplit="7" topLeftCell="D68" activePane="bottomRight" state="frozen"/>
      <selection pane="topRight"/>
      <selection pane="bottomLeft"/>
      <selection pane="bottomRight" activeCell="F82" sqref="F82"/>
    </sheetView>
  </sheetViews>
  <sheetFormatPr defaultColWidth="14.42578125" defaultRowHeight="15" customHeight="1"/>
  <cols>
    <col min="1" max="1" width="24.42578125" customWidth="1"/>
    <col min="2" max="2" width="6.42578125" customWidth="1"/>
    <col min="3" max="3" width="12.28515625" hidden="1" customWidth="1"/>
    <col min="4" max="4" width="12.28515625" style="61" customWidth="1"/>
    <col min="5" max="5" width="12.28515625" customWidth="1"/>
    <col min="6" max="9" width="12.28515625" style="61" customWidth="1"/>
    <col min="10" max="10" width="12.28515625" hidden="1" customWidth="1"/>
    <col min="11" max="11" width="12.28515625" style="61" hidden="1" customWidth="1"/>
    <col min="12" max="14" width="12.28515625" style="61" customWidth="1"/>
    <col min="15" max="16" width="12.28515625" customWidth="1"/>
    <col min="17" max="18" width="9.140625" customWidth="1"/>
    <col min="19" max="26" width="8" customWidth="1"/>
  </cols>
  <sheetData>
    <row r="1" spans="1:18">
      <c r="A1" s="3" t="s">
        <v>0</v>
      </c>
      <c r="B1" s="4"/>
      <c r="C1" s="5"/>
      <c r="D1" s="823"/>
      <c r="E1" s="6"/>
      <c r="F1" s="823"/>
      <c r="G1" s="823"/>
      <c r="H1" s="823"/>
      <c r="I1" s="823"/>
      <c r="J1" s="45"/>
      <c r="K1" s="844"/>
      <c r="L1" s="830"/>
      <c r="M1" s="830"/>
      <c r="N1" s="830"/>
      <c r="O1" s="39"/>
      <c r="P1" s="46"/>
      <c r="Q1" s="5"/>
      <c r="R1" s="5"/>
    </row>
    <row r="2" spans="1:18">
      <c r="A2" s="4" t="s">
        <v>968</v>
      </c>
      <c r="B2" s="7"/>
      <c r="C2" s="5"/>
      <c r="D2" s="823"/>
      <c r="E2" s="6"/>
      <c r="F2" s="823"/>
      <c r="G2" s="823"/>
      <c r="H2" s="823"/>
      <c r="I2" s="823"/>
      <c r="J2" s="45"/>
      <c r="K2" s="844"/>
      <c r="L2" s="830"/>
      <c r="M2" s="830"/>
      <c r="N2" s="830"/>
      <c r="O2" s="39"/>
      <c r="P2" s="46"/>
      <c r="Q2" s="5"/>
      <c r="R2" s="5"/>
    </row>
    <row r="3" spans="1:18">
      <c r="A3" s="8" t="s">
        <v>969</v>
      </c>
      <c r="B3" s="7"/>
      <c r="C3" s="5"/>
      <c r="D3" s="823"/>
      <c r="E3" s="6"/>
      <c r="F3" s="823"/>
      <c r="G3" s="823"/>
      <c r="H3" s="823"/>
      <c r="I3" s="823"/>
      <c r="J3" s="45"/>
      <c r="K3" s="844"/>
      <c r="L3" s="830"/>
      <c r="M3" s="830"/>
      <c r="N3" s="830"/>
      <c r="O3" s="39"/>
      <c r="P3" s="46"/>
      <c r="Q3" s="5"/>
      <c r="R3" s="5"/>
    </row>
    <row r="4" spans="1:18">
      <c r="A4" s="8"/>
      <c r="B4" s="7"/>
      <c r="C4" s="5"/>
      <c r="D4" s="823"/>
      <c r="E4" s="6"/>
      <c r="F4" s="823"/>
      <c r="G4" s="823"/>
      <c r="H4" s="823"/>
      <c r="I4" s="823"/>
      <c r="J4" s="45"/>
      <c r="K4" s="844"/>
      <c r="L4" s="830"/>
      <c r="M4" s="830"/>
      <c r="N4" s="830"/>
      <c r="O4" s="39"/>
      <c r="P4" s="46"/>
      <c r="Q4" s="5"/>
      <c r="R4" s="5"/>
    </row>
    <row r="5" spans="1:18">
      <c r="A5" s="5"/>
      <c r="B5" s="5"/>
      <c r="C5" s="5"/>
      <c r="D5" s="823"/>
      <c r="E5" s="6"/>
      <c r="F5" s="823"/>
      <c r="G5" s="823"/>
      <c r="H5" s="823"/>
      <c r="I5" s="823"/>
      <c r="J5" s="45"/>
      <c r="K5" s="844"/>
      <c r="L5" s="830"/>
      <c r="M5" s="830"/>
      <c r="N5" s="830"/>
      <c r="O5" s="39"/>
      <c r="P5" s="46"/>
      <c r="Q5" s="5"/>
      <c r="R5" s="5"/>
    </row>
    <row r="6" spans="1:18">
      <c r="A6" s="9"/>
      <c r="B6" s="9"/>
      <c r="C6" s="5"/>
      <c r="D6" s="823"/>
      <c r="E6" s="6"/>
      <c r="F6" s="823"/>
      <c r="G6" s="823"/>
      <c r="H6" s="823"/>
      <c r="I6" s="823"/>
      <c r="J6" s="45"/>
      <c r="K6" s="844"/>
      <c r="L6" s="830"/>
      <c r="M6" s="830"/>
      <c r="N6" s="830"/>
      <c r="O6" s="39"/>
      <c r="P6" s="46"/>
      <c r="Q6" s="5"/>
      <c r="R6" s="5"/>
    </row>
    <row r="7" spans="1:18">
      <c r="A7" s="9"/>
      <c r="B7" s="10"/>
      <c r="C7" s="5"/>
      <c r="D7" s="823"/>
      <c r="E7" s="6"/>
      <c r="F7" s="823"/>
      <c r="G7" s="823"/>
      <c r="H7" s="823"/>
      <c r="I7" s="823"/>
      <c r="J7" s="45"/>
      <c r="K7" s="844"/>
      <c r="L7" s="830"/>
      <c r="M7" s="830"/>
      <c r="N7" s="830"/>
      <c r="O7" s="39"/>
      <c r="P7" s="46"/>
      <c r="Q7" s="5"/>
      <c r="R7" s="5"/>
    </row>
    <row r="8" spans="1:18">
      <c r="A8" s="11"/>
      <c r="B8" s="5"/>
      <c r="C8" s="5"/>
      <c r="D8" s="823"/>
      <c r="E8" s="6"/>
      <c r="F8" s="823"/>
      <c r="G8" s="823"/>
      <c r="H8" s="823"/>
      <c r="I8" s="823"/>
      <c r="J8" s="45"/>
      <c r="K8" s="844"/>
      <c r="L8" s="830"/>
      <c r="M8" s="830"/>
      <c r="N8" s="830"/>
      <c r="O8" s="39"/>
      <c r="P8" s="46"/>
      <c r="Q8" s="5"/>
      <c r="R8" s="5"/>
    </row>
    <row r="9" spans="1:18">
      <c r="A9" s="12"/>
      <c r="B9" s="1008" t="s">
        <v>7</v>
      </c>
      <c r="C9" s="5"/>
      <c r="D9" s="823"/>
      <c r="E9" s="6"/>
      <c r="F9" s="823"/>
      <c r="G9" s="823"/>
      <c r="H9" s="823"/>
      <c r="I9" s="823"/>
      <c r="J9" s="45"/>
      <c r="K9" s="844"/>
      <c r="L9" s="830"/>
      <c r="M9" s="830"/>
      <c r="N9" s="830"/>
      <c r="O9" s="39"/>
      <c r="P9" s="46"/>
      <c r="Q9" s="5"/>
      <c r="R9" s="5"/>
    </row>
    <row r="10" spans="1:18">
      <c r="A10" s="13"/>
      <c r="B10" s="933"/>
      <c r="C10" s="5"/>
      <c r="D10" s="823"/>
      <c r="E10" s="14" t="s">
        <v>970</v>
      </c>
      <c r="F10" s="851"/>
      <c r="G10" s="853"/>
      <c r="H10" s="851"/>
      <c r="I10" s="851"/>
      <c r="J10" s="45"/>
      <c r="K10" s="844"/>
      <c r="L10" s="830"/>
      <c r="M10" s="830"/>
      <c r="N10" s="830"/>
      <c r="O10" s="39"/>
      <c r="P10" s="46"/>
      <c r="Q10" s="5"/>
      <c r="R10" s="5"/>
    </row>
    <row r="11" spans="1:18">
      <c r="A11" s="15"/>
      <c r="B11" s="934"/>
      <c r="C11" s="5" t="s">
        <v>971</v>
      </c>
      <c r="D11" s="824" t="s">
        <v>972</v>
      </c>
      <c r="E11" s="6"/>
      <c r="F11" s="824" t="s">
        <v>973</v>
      </c>
      <c r="G11" s="824" t="s">
        <v>974</v>
      </c>
      <c r="H11" s="824" t="s">
        <v>975</v>
      </c>
      <c r="I11" s="824" t="s">
        <v>976</v>
      </c>
      <c r="J11" s="47">
        <v>5110</v>
      </c>
      <c r="K11" s="845" t="s">
        <v>977</v>
      </c>
      <c r="L11" s="831" t="s">
        <v>700</v>
      </c>
      <c r="M11" s="831" t="s">
        <v>978</v>
      </c>
      <c r="N11" s="831" t="s">
        <v>979</v>
      </c>
      <c r="O11" s="39" t="s">
        <v>980</v>
      </c>
      <c r="P11" s="46" t="s">
        <v>981</v>
      </c>
      <c r="Q11" s="5" t="s">
        <v>982</v>
      </c>
      <c r="R11" s="5"/>
    </row>
    <row r="12" spans="1:18">
      <c r="A12" s="16" t="s">
        <v>18</v>
      </c>
      <c r="B12" s="17" t="s">
        <v>19</v>
      </c>
      <c r="C12" s="5"/>
      <c r="D12" s="824"/>
      <c r="E12" s="6"/>
      <c r="F12" s="824" t="s">
        <v>983</v>
      </c>
      <c r="G12" s="824" t="s">
        <v>984</v>
      </c>
      <c r="H12" s="823"/>
      <c r="I12" s="824" t="s">
        <v>984</v>
      </c>
      <c r="J12" s="45"/>
      <c r="K12" s="844"/>
      <c r="L12" s="831"/>
      <c r="M12" s="831" t="s">
        <v>984</v>
      </c>
      <c r="N12" s="831" t="s">
        <v>984</v>
      </c>
      <c r="O12" s="39"/>
      <c r="P12" s="46"/>
      <c r="Q12" s="5"/>
      <c r="R12" s="5"/>
    </row>
    <row r="13" spans="1:18">
      <c r="A13" s="18"/>
      <c r="B13" s="19"/>
      <c r="C13" s="5"/>
      <c r="D13" s="823"/>
      <c r="E13" s="6"/>
      <c r="F13" s="823"/>
      <c r="G13" s="824"/>
      <c r="H13" s="823"/>
      <c r="I13" s="823"/>
      <c r="J13" s="48"/>
      <c r="K13" s="844"/>
      <c r="L13" s="830"/>
      <c r="M13" s="832"/>
      <c r="N13" s="830"/>
      <c r="O13" s="39"/>
      <c r="P13" s="46"/>
      <c r="Q13" s="5"/>
      <c r="R13" s="5"/>
    </row>
    <row r="14" spans="1:18">
      <c r="A14" s="20" t="s">
        <v>22</v>
      </c>
      <c r="B14" s="21" t="s">
        <v>23</v>
      </c>
      <c r="C14" s="5">
        <f t="shared" ref="C14:Q14" si="0">SUM(C15,C31,C32,C41,C33)</f>
        <v>0</v>
      </c>
      <c r="D14" s="825">
        <f t="shared" si="0"/>
        <v>2820</v>
      </c>
      <c r="E14" s="22">
        <f t="shared" si="0"/>
        <v>22178</v>
      </c>
      <c r="F14" s="825">
        <f t="shared" si="0"/>
        <v>8960</v>
      </c>
      <c r="G14" s="825">
        <f t="shared" si="0"/>
        <v>9128</v>
      </c>
      <c r="H14" s="825">
        <f t="shared" si="0"/>
        <v>1820</v>
      </c>
      <c r="I14" s="825">
        <f t="shared" si="0"/>
        <v>2270</v>
      </c>
      <c r="J14" s="49">
        <f t="shared" si="0"/>
        <v>0</v>
      </c>
      <c r="K14" s="846">
        <f t="shared" si="0"/>
        <v>0</v>
      </c>
      <c r="L14" s="842">
        <f t="shared" si="0"/>
        <v>585239.87</v>
      </c>
      <c r="M14" s="833">
        <f t="shared" si="0"/>
        <v>65725</v>
      </c>
      <c r="N14" s="834">
        <f t="shared" si="0"/>
        <v>43503</v>
      </c>
      <c r="O14" s="39">
        <f t="shared" si="0"/>
        <v>0</v>
      </c>
      <c r="P14" s="46">
        <f t="shared" si="0"/>
        <v>0</v>
      </c>
      <c r="Q14" s="5">
        <f t="shared" si="0"/>
        <v>0</v>
      </c>
      <c r="R14" s="5"/>
    </row>
    <row r="15" spans="1:18">
      <c r="A15" s="23" t="s">
        <v>24</v>
      </c>
      <c r="B15" s="24" t="s">
        <v>25</v>
      </c>
      <c r="C15" s="5">
        <f t="shared" ref="C15:Q15" si="1">SUM(C16,C30)</f>
        <v>0</v>
      </c>
      <c r="D15" s="825">
        <f t="shared" si="1"/>
        <v>120</v>
      </c>
      <c r="E15" s="22">
        <f t="shared" si="1"/>
        <v>2408</v>
      </c>
      <c r="F15" s="825">
        <f t="shared" si="1"/>
        <v>500</v>
      </c>
      <c r="G15" s="825">
        <f t="shared" si="1"/>
        <v>1618</v>
      </c>
      <c r="H15" s="825">
        <f t="shared" si="1"/>
        <v>20</v>
      </c>
      <c r="I15" s="825">
        <f t="shared" si="1"/>
        <v>270</v>
      </c>
      <c r="J15" s="49">
        <f t="shared" si="1"/>
        <v>0</v>
      </c>
      <c r="K15" s="846">
        <f t="shared" si="1"/>
        <v>0</v>
      </c>
      <c r="L15" s="842">
        <f t="shared" si="1"/>
        <v>345530.84</v>
      </c>
      <c r="M15" s="833">
        <f t="shared" si="1"/>
        <v>29215</v>
      </c>
      <c r="N15" s="834">
        <f t="shared" si="1"/>
        <v>16819</v>
      </c>
      <c r="O15" s="39">
        <f t="shared" si="1"/>
        <v>0</v>
      </c>
      <c r="P15" s="46">
        <f t="shared" si="1"/>
        <v>0</v>
      </c>
      <c r="Q15" s="5">
        <f t="shared" si="1"/>
        <v>0</v>
      </c>
      <c r="R15" s="5"/>
    </row>
    <row r="16" spans="1:18">
      <c r="A16" s="23" t="s">
        <v>26</v>
      </c>
      <c r="B16" s="24" t="s">
        <v>27</v>
      </c>
      <c r="C16" s="5">
        <f t="shared" ref="C16:Q16" si="2">SUM(C17,C19,C22,C23,C24)</f>
        <v>0</v>
      </c>
      <c r="D16" s="825">
        <f t="shared" si="2"/>
        <v>0</v>
      </c>
      <c r="E16" s="22">
        <f t="shared" si="2"/>
        <v>0</v>
      </c>
      <c r="F16" s="825">
        <f t="shared" si="2"/>
        <v>0</v>
      </c>
      <c r="G16" s="825">
        <f t="shared" si="2"/>
        <v>0</v>
      </c>
      <c r="H16" s="825">
        <f t="shared" si="2"/>
        <v>0</v>
      </c>
      <c r="I16" s="825">
        <f t="shared" si="2"/>
        <v>0</v>
      </c>
      <c r="J16" s="49">
        <f t="shared" si="2"/>
        <v>0</v>
      </c>
      <c r="K16" s="846">
        <f t="shared" si="2"/>
        <v>0</v>
      </c>
      <c r="L16" s="833">
        <f t="shared" si="2"/>
        <v>0</v>
      </c>
      <c r="M16" s="833">
        <f t="shared" si="2"/>
        <v>0</v>
      </c>
      <c r="N16" s="833">
        <f t="shared" si="2"/>
        <v>0</v>
      </c>
      <c r="O16" s="39">
        <f t="shared" si="2"/>
        <v>0</v>
      </c>
      <c r="P16" s="46">
        <f t="shared" si="2"/>
        <v>0</v>
      </c>
      <c r="Q16" s="5">
        <f t="shared" si="2"/>
        <v>0</v>
      </c>
      <c r="R16" s="5"/>
    </row>
    <row r="17" spans="1:18" ht="36.75" customHeight="1">
      <c r="A17" s="25" t="s">
        <v>28</v>
      </c>
      <c r="B17" s="24" t="s">
        <v>29</v>
      </c>
      <c r="C17" s="5"/>
      <c r="D17" s="825"/>
      <c r="E17" s="22">
        <f>F17+G17+H17+I17</f>
        <v>0</v>
      </c>
      <c r="F17" s="825"/>
      <c r="G17" s="825"/>
      <c r="H17" s="825"/>
      <c r="I17" s="825"/>
      <c r="J17" s="49"/>
      <c r="K17" s="846"/>
      <c r="L17" s="833"/>
      <c r="M17" s="833"/>
      <c r="N17" s="833"/>
      <c r="O17" s="39"/>
      <c r="P17" s="46"/>
      <c r="Q17" s="5"/>
      <c r="R17" s="5"/>
    </row>
    <row r="18" spans="1:18">
      <c r="A18" s="26" t="s">
        <v>30</v>
      </c>
      <c r="B18" s="24" t="s">
        <v>31</v>
      </c>
      <c r="C18" s="5"/>
      <c r="D18" s="825"/>
      <c r="E18" s="22">
        <f>F18+G18+H18+I18</f>
        <v>0</v>
      </c>
      <c r="F18" s="825"/>
      <c r="G18" s="825"/>
      <c r="H18" s="825"/>
      <c r="I18" s="825"/>
      <c r="J18" s="49"/>
      <c r="K18" s="846"/>
      <c r="L18" s="833"/>
      <c r="M18" s="833"/>
      <c r="N18" s="833"/>
      <c r="O18" s="39"/>
      <c r="P18" s="46"/>
      <c r="Q18" s="5"/>
      <c r="R18" s="5"/>
    </row>
    <row r="19" spans="1:18" ht="48.75" customHeight="1">
      <c r="A19" s="25" t="s">
        <v>32</v>
      </c>
      <c r="B19" s="24" t="s">
        <v>33</v>
      </c>
      <c r="C19" s="5">
        <f t="shared" ref="C19:Q19" si="3">SUM(C20,C21)</f>
        <v>0</v>
      </c>
      <c r="D19" s="825">
        <f t="shared" si="3"/>
        <v>0</v>
      </c>
      <c r="E19" s="22">
        <f t="shared" si="3"/>
        <v>0</v>
      </c>
      <c r="F19" s="825">
        <f t="shared" si="3"/>
        <v>0</v>
      </c>
      <c r="G19" s="825">
        <f t="shared" si="3"/>
        <v>0</v>
      </c>
      <c r="H19" s="825">
        <f t="shared" si="3"/>
        <v>0</v>
      </c>
      <c r="I19" s="825">
        <f t="shared" si="3"/>
        <v>0</v>
      </c>
      <c r="J19" s="49">
        <f t="shared" si="3"/>
        <v>0</v>
      </c>
      <c r="K19" s="846">
        <f t="shared" si="3"/>
        <v>0</v>
      </c>
      <c r="L19" s="833">
        <f t="shared" si="3"/>
        <v>0</v>
      </c>
      <c r="M19" s="833">
        <f t="shared" si="3"/>
        <v>0</v>
      </c>
      <c r="N19" s="833">
        <f t="shared" si="3"/>
        <v>0</v>
      </c>
      <c r="O19" s="39">
        <f t="shared" si="3"/>
        <v>0</v>
      </c>
      <c r="P19" s="46">
        <f t="shared" si="3"/>
        <v>0</v>
      </c>
      <c r="Q19" s="5">
        <f t="shared" si="3"/>
        <v>0</v>
      </c>
      <c r="R19" s="5"/>
    </row>
    <row r="20" spans="1:18" ht="48.75" customHeight="1">
      <c r="A20" s="25" t="s">
        <v>34</v>
      </c>
      <c r="B20" s="24" t="s">
        <v>35</v>
      </c>
      <c r="C20" s="5"/>
      <c r="D20" s="825"/>
      <c r="E20" s="22">
        <f>F20+G20+H20+I20</f>
        <v>0</v>
      </c>
      <c r="F20" s="825"/>
      <c r="G20" s="825"/>
      <c r="H20" s="825"/>
      <c r="I20" s="825"/>
      <c r="J20" s="49"/>
      <c r="K20" s="846"/>
      <c r="L20" s="833"/>
      <c r="M20" s="833"/>
      <c r="N20" s="833"/>
      <c r="O20" s="39"/>
      <c r="P20" s="46"/>
      <c r="Q20" s="5"/>
      <c r="R20" s="5"/>
    </row>
    <row r="21" spans="1:18" ht="24.75" customHeight="1">
      <c r="A21" s="25" t="s">
        <v>36</v>
      </c>
      <c r="B21" s="24" t="s">
        <v>37</v>
      </c>
      <c r="C21" s="5"/>
      <c r="D21" s="825"/>
      <c r="E21" s="22">
        <f>F21+G21+H21+I21</f>
        <v>0</v>
      </c>
      <c r="F21" s="825"/>
      <c r="G21" s="825"/>
      <c r="H21" s="825"/>
      <c r="I21" s="825"/>
      <c r="J21" s="49"/>
      <c r="K21" s="846"/>
      <c r="L21" s="833"/>
      <c r="M21" s="833"/>
      <c r="N21" s="833"/>
      <c r="O21" s="39"/>
      <c r="P21" s="46"/>
      <c r="Q21" s="5"/>
      <c r="R21" s="5"/>
    </row>
    <row r="22" spans="1:18" ht="24.75" customHeight="1">
      <c r="A22" s="25" t="s">
        <v>38</v>
      </c>
      <c r="B22" s="24" t="s">
        <v>39</v>
      </c>
      <c r="C22" s="5"/>
      <c r="D22" s="825"/>
      <c r="E22" s="22">
        <f>F22+G22+H22+I22</f>
        <v>0</v>
      </c>
      <c r="F22" s="825"/>
      <c r="G22" s="825"/>
      <c r="H22" s="825"/>
      <c r="I22" s="825"/>
      <c r="J22" s="49"/>
      <c r="K22" s="846"/>
      <c r="L22" s="833"/>
      <c r="M22" s="833"/>
      <c r="N22" s="833"/>
      <c r="O22" s="39"/>
      <c r="P22" s="46"/>
      <c r="Q22" s="5"/>
      <c r="R22" s="5"/>
    </row>
    <row r="23" spans="1:18" ht="15.75" customHeight="1">
      <c r="A23" s="23" t="s">
        <v>40</v>
      </c>
      <c r="B23" s="24" t="s">
        <v>41</v>
      </c>
      <c r="C23" s="5"/>
      <c r="D23" s="825"/>
      <c r="E23" s="22">
        <f>F23+G23+H23+I23</f>
        <v>0</v>
      </c>
      <c r="F23" s="825"/>
      <c r="G23" s="825"/>
      <c r="H23" s="825"/>
      <c r="I23" s="825"/>
      <c r="J23" s="49"/>
      <c r="K23" s="846"/>
      <c r="L23" s="833"/>
      <c r="M23" s="833"/>
      <c r="N23" s="833"/>
      <c r="O23" s="39"/>
      <c r="P23" s="46"/>
      <c r="Q23" s="5"/>
      <c r="R23" s="5"/>
    </row>
    <row r="24" spans="1:18" ht="15.75" customHeight="1">
      <c r="A24" s="23" t="s">
        <v>42</v>
      </c>
      <c r="B24" s="24" t="s">
        <v>43</v>
      </c>
      <c r="C24" s="5">
        <f t="shared" ref="C24:Q24" si="4">SUM(C25:C28)</f>
        <v>0</v>
      </c>
      <c r="D24" s="825">
        <f t="shared" si="4"/>
        <v>0</v>
      </c>
      <c r="E24" s="22">
        <f t="shared" si="4"/>
        <v>0</v>
      </c>
      <c r="F24" s="825">
        <f t="shared" si="4"/>
        <v>0</v>
      </c>
      <c r="G24" s="825">
        <f t="shared" si="4"/>
        <v>0</v>
      </c>
      <c r="H24" s="825">
        <f t="shared" si="4"/>
        <v>0</v>
      </c>
      <c r="I24" s="825">
        <f t="shared" si="4"/>
        <v>0</v>
      </c>
      <c r="J24" s="49">
        <f t="shared" si="4"/>
        <v>0</v>
      </c>
      <c r="K24" s="846">
        <f t="shared" si="4"/>
        <v>0</v>
      </c>
      <c r="L24" s="833">
        <f t="shared" si="4"/>
        <v>0</v>
      </c>
      <c r="M24" s="833">
        <f t="shared" si="4"/>
        <v>0</v>
      </c>
      <c r="N24" s="833">
        <f t="shared" si="4"/>
        <v>0</v>
      </c>
      <c r="O24" s="39">
        <f t="shared" si="4"/>
        <v>0</v>
      </c>
      <c r="P24" s="46">
        <f t="shared" si="4"/>
        <v>0</v>
      </c>
      <c r="Q24" s="5">
        <f t="shared" si="4"/>
        <v>0</v>
      </c>
      <c r="R24" s="5"/>
    </row>
    <row r="25" spans="1:18" ht="15.75" customHeight="1">
      <c r="A25" s="26" t="s">
        <v>44</v>
      </c>
      <c r="B25" s="24" t="s">
        <v>45</v>
      </c>
      <c r="C25" s="5"/>
      <c r="D25" s="825"/>
      <c r="E25" s="22">
        <f t="shared" ref="E25:E32" si="5">F25+G25+H25+I25</f>
        <v>0</v>
      </c>
      <c r="F25" s="825"/>
      <c r="G25" s="825"/>
      <c r="H25" s="825"/>
      <c r="I25" s="825"/>
      <c r="J25" s="49"/>
      <c r="K25" s="846"/>
      <c r="L25" s="833"/>
      <c r="M25" s="833"/>
      <c r="N25" s="833"/>
      <c r="O25" s="39"/>
      <c r="P25" s="46"/>
      <c r="Q25" s="5"/>
      <c r="R25" s="5"/>
    </row>
    <row r="26" spans="1:18" ht="36.75" customHeight="1">
      <c r="A26" s="25" t="s">
        <v>46</v>
      </c>
      <c r="B26" s="24" t="s">
        <v>47</v>
      </c>
      <c r="C26" s="5"/>
      <c r="D26" s="825"/>
      <c r="E26" s="22">
        <f t="shared" si="5"/>
        <v>0</v>
      </c>
      <c r="F26" s="825"/>
      <c r="G26" s="825"/>
      <c r="H26" s="825"/>
      <c r="I26" s="825"/>
      <c r="J26" s="49"/>
      <c r="K26" s="846"/>
      <c r="L26" s="833"/>
      <c r="M26" s="833"/>
      <c r="N26" s="833"/>
      <c r="O26" s="39"/>
      <c r="P26" s="46"/>
      <c r="Q26" s="5"/>
      <c r="R26" s="5"/>
    </row>
    <row r="27" spans="1:18" ht="15.75" customHeight="1">
      <c r="A27" s="26" t="s">
        <v>48</v>
      </c>
      <c r="B27" s="24" t="s">
        <v>49</v>
      </c>
      <c r="C27" s="5"/>
      <c r="D27" s="825"/>
      <c r="E27" s="22">
        <f t="shared" si="5"/>
        <v>0</v>
      </c>
      <c r="F27" s="825"/>
      <c r="G27" s="825"/>
      <c r="H27" s="825"/>
      <c r="I27" s="825"/>
      <c r="J27" s="49"/>
      <c r="K27" s="846"/>
      <c r="L27" s="833"/>
      <c r="M27" s="833"/>
      <c r="N27" s="833"/>
      <c r="O27" s="39"/>
      <c r="P27" s="46"/>
      <c r="Q27" s="5"/>
      <c r="R27" s="5"/>
    </row>
    <row r="28" spans="1:18" ht="48.75" customHeight="1">
      <c r="A28" s="25" t="s">
        <v>50</v>
      </c>
      <c r="B28" s="24" t="s">
        <v>51</v>
      </c>
      <c r="C28" s="5"/>
      <c r="D28" s="825"/>
      <c r="E28" s="22">
        <f t="shared" si="5"/>
        <v>0</v>
      </c>
      <c r="F28" s="825"/>
      <c r="G28" s="825"/>
      <c r="H28" s="825"/>
      <c r="I28" s="825"/>
      <c r="J28" s="49"/>
      <c r="K28" s="846"/>
      <c r="L28" s="833"/>
      <c r="M28" s="833"/>
      <c r="N28" s="833"/>
      <c r="O28" s="39"/>
      <c r="P28" s="46"/>
      <c r="Q28" s="5"/>
      <c r="R28" s="5"/>
    </row>
    <row r="29" spans="1:18" ht="15.75" customHeight="1">
      <c r="A29" s="23" t="s">
        <v>52</v>
      </c>
      <c r="B29" s="24" t="s">
        <v>53</v>
      </c>
      <c r="C29" s="5"/>
      <c r="D29" s="825"/>
      <c r="E29" s="22">
        <f t="shared" si="5"/>
        <v>0</v>
      </c>
      <c r="F29" s="825"/>
      <c r="G29" s="825"/>
      <c r="H29" s="825"/>
      <c r="I29" s="825"/>
      <c r="J29" s="49"/>
      <c r="K29" s="846"/>
      <c r="L29" s="833"/>
      <c r="M29" s="833"/>
      <c r="N29" s="833"/>
      <c r="O29" s="39"/>
      <c r="P29" s="46"/>
      <c r="Q29" s="5"/>
      <c r="R29" s="5"/>
    </row>
    <row r="30" spans="1:18" ht="15.75" customHeight="1">
      <c r="A30" s="23" t="s">
        <v>54</v>
      </c>
      <c r="B30" s="24" t="s">
        <v>55</v>
      </c>
      <c r="C30" s="5"/>
      <c r="D30" s="825">
        <v>120</v>
      </c>
      <c r="E30" s="810">
        <f t="shared" si="5"/>
        <v>2408</v>
      </c>
      <c r="F30" s="825">
        <v>500</v>
      </c>
      <c r="G30" s="825">
        <v>1618</v>
      </c>
      <c r="H30" s="825">
        <v>20</v>
      </c>
      <c r="I30" s="825">
        <v>270</v>
      </c>
      <c r="J30" s="811"/>
      <c r="K30" s="846"/>
      <c r="L30" s="842">
        <v>345530.84</v>
      </c>
      <c r="M30" s="834">
        <f>29215</f>
        <v>29215</v>
      </c>
      <c r="N30" s="833">
        <v>16819</v>
      </c>
      <c r="O30" s="39"/>
      <c r="P30" s="46"/>
      <c r="Q30" s="5"/>
      <c r="R30" s="5"/>
    </row>
    <row r="31" spans="1:18" ht="15.75" customHeight="1">
      <c r="A31" s="23" t="s">
        <v>56</v>
      </c>
      <c r="B31" s="24" t="s">
        <v>57</v>
      </c>
      <c r="C31" s="5"/>
      <c r="D31" s="825"/>
      <c r="E31" s="810">
        <f t="shared" si="5"/>
        <v>0</v>
      </c>
      <c r="F31" s="825"/>
      <c r="G31" s="825"/>
      <c r="H31" s="825"/>
      <c r="I31" s="825"/>
      <c r="J31" s="811"/>
      <c r="K31" s="846"/>
      <c r="L31" s="833"/>
      <c r="M31" s="833">
        <v>10</v>
      </c>
      <c r="N31" s="833">
        <v>4</v>
      </c>
      <c r="O31" s="39"/>
      <c r="P31" s="46"/>
      <c r="Q31" s="5"/>
      <c r="R31" s="5"/>
    </row>
    <row r="32" spans="1:18" ht="15.75" customHeight="1">
      <c r="A32" s="23" t="s">
        <v>58</v>
      </c>
      <c r="B32" s="24" t="s">
        <v>59</v>
      </c>
      <c r="C32" s="5"/>
      <c r="D32" s="825"/>
      <c r="E32" s="810">
        <f t="shared" si="5"/>
        <v>0</v>
      </c>
      <c r="F32" s="825"/>
      <c r="G32" s="825"/>
      <c r="H32" s="825"/>
      <c r="I32" s="825"/>
      <c r="J32" s="811"/>
      <c r="K32" s="846"/>
      <c r="L32" s="833"/>
      <c r="M32" s="833"/>
      <c r="N32" s="833"/>
      <c r="O32" s="39"/>
      <c r="P32" s="46"/>
      <c r="Q32" s="5"/>
      <c r="R32" s="5"/>
    </row>
    <row r="33" spans="1:18" ht="15.75" customHeight="1">
      <c r="A33" s="23" t="s">
        <v>60</v>
      </c>
      <c r="B33" s="24" t="s">
        <v>61</v>
      </c>
      <c r="C33" s="5">
        <f t="shared" ref="C33:Q33" si="6">SUM(C34,C35)</f>
        <v>0</v>
      </c>
      <c r="D33" s="826">
        <f t="shared" si="6"/>
        <v>2700</v>
      </c>
      <c r="E33" s="810">
        <f t="shared" si="6"/>
        <v>19410</v>
      </c>
      <c r="F33" s="825">
        <f t="shared" si="6"/>
        <v>8460</v>
      </c>
      <c r="G33" s="825">
        <f t="shared" si="6"/>
        <v>7150</v>
      </c>
      <c r="H33" s="825">
        <f t="shared" si="6"/>
        <v>1800</v>
      </c>
      <c r="I33" s="825">
        <f t="shared" si="6"/>
        <v>2000</v>
      </c>
      <c r="J33" s="811">
        <f t="shared" si="6"/>
        <v>0</v>
      </c>
      <c r="K33" s="846">
        <f t="shared" si="6"/>
        <v>0</v>
      </c>
      <c r="L33" s="834">
        <f t="shared" si="6"/>
        <v>188864</v>
      </c>
      <c r="M33" s="834">
        <f t="shared" si="6"/>
        <v>36500</v>
      </c>
      <c r="N33" s="842">
        <f t="shared" si="6"/>
        <v>26680</v>
      </c>
      <c r="O33" s="39">
        <f t="shared" si="6"/>
        <v>0</v>
      </c>
      <c r="P33" s="46">
        <f t="shared" si="6"/>
        <v>0</v>
      </c>
      <c r="Q33" s="5">
        <f t="shared" si="6"/>
        <v>0</v>
      </c>
      <c r="R33" s="5"/>
    </row>
    <row r="34" spans="1:18" ht="15.75" customHeight="1">
      <c r="A34" s="26" t="s">
        <v>62</v>
      </c>
      <c r="B34" s="24" t="s">
        <v>63</v>
      </c>
      <c r="C34" s="5"/>
      <c r="D34" s="825"/>
      <c r="E34" s="810">
        <f>F34+G34+H34+I34</f>
        <v>0</v>
      </c>
      <c r="F34" s="825"/>
      <c r="G34" s="825"/>
      <c r="H34" s="825"/>
      <c r="I34" s="825"/>
      <c r="J34" s="811"/>
      <c r="K34" s="846"/>
      <c r="L34" s="833"/>
      <c r="M34" s="833"/>
      <c r="N34" s="833"/>
      <c r="O34" s="39"/>
      <c r="P34" s="46"/>
      <c r="Q34" s="5"/>
      <c r="R34" s="5"/>
    </row>
    <row r="35" spans="1:18" ht="15.75" customHeight="1">
      <c r="A35" s="26" t="s">
        <v>64</v>
      </c>
      <c r="B35" s="24" t="s">
        <v>65</v>
      </c>
      <c r="C35" s="5">
        <f t="shared" ref="C35:J35" si="7">SUM(C39,C40)</f>
        <v>0</v>
      </c>
      <c r="D35" s="826">
        <f t="shared" si="7"/>
        <v>2700</v>
      </c>
      <c r="E35" s="810">
        <f t="shared" si="7"/>
        <v>19410</v>
      </c>
      <c r="F35" s="825">
        <f t="shared" si="7"/>
        <v>8460</v>
      </c>
      <c r="G35" s="825">
        <f t="shared" si="7"/>
        <v>7150</v>
      </c>
      <c r="H35" s="825">
        <f t="shared" si="7"/>
        <v>1800</v>
      </c>
      <c r="I35" s="825">
        <f t="shared" si="7"/>
        <v>2000</v>
      </c>
      <c r="J35" s="811">
        <f t="shared" si="7"/>
        <v>0</v>
      </c>
      <c r="K35" s="846"/>
      <c r="L35" s="834">
        <v>188864</v>
      </c>
      <c r="M35" s="834">
        <v>36500</v>
      </c>
      <c r="N35" s="842">
        <v>26680</v>
      </c>
      <c r="O35" s="39">
        <f>SUM(O39,O40)</f>
        <v>0</v>
      </c>
      <c r="P35" s="46">
        <f>SUM(P39,P40)</f>
        <v>0</v>
      </c>
      <c r="Q35" s="5">
        <f>SUM(Q39,Q40)</f>
        <v>0</v>
      </c>
      <c r="R35" s="5"/>
    </row>
    <row r="36" spans="1:18" ht="15.75" customHeight="1">
      <c r="A36" s="27" t="s">
        <v>985</v>
      </c>
      <c r="B36" s="28"/>
      <c r="C36" s="29"/>
      <c r="D36" s="825"/>
      <c r="E36" s="810">
        <f>E39+E40</f>
        <v>19410</v>
      </c>
      <c r="F36" s="825">
        <f>F39+F40</f>
        <v>8460</v>
      </c>
      <c r="G36" s="825">
        <f>G39+G40</f>
        <v>7150</v>
      </c>
      <c r="H36" s="825">
        <f>H39+H40</f>
        <v>1800</v>
      </c>
      <c r="I36" s="825">
        <f>I39+I40</f>
        <v>2000</v>
      </c>
      <c r="J36" s="811"/>
      <c r="K36" s="846"/>
      <c r="L36" s="834">
        <f>L38+L39+L40</f>
        <v>6000</v>
      </c>
      <c r="M36" s="834">
        <f>M38+M39+M40</f>
        <v>2500</v>
      </c>
      <c r="N36" s="834">
        <f>N38+N39+N40</f>
        <v>3000</v>
      </c>
      <c r="O36" s="50"/>
      <c r="P36" s="51"/>
      <c r="Q36" s="29"/>
      <c r="R36" s="29"/>
    </row>
    <row r="37" spans="1:18" ht="15.75" customHeight="1">
      <c r="A37" s="27" t="s">
        <v>986</v>
      </c>
      <c r="B37" s="28"/>
      <c r="C37" s="29"/>
      <c r="D37" s="825"/>
      <c r="E37" s="810"/>
      <c r="F37" s="825"/>
      <c r="G37" s="825"/>
      <c r="H37" s="825"/>
      <c r="I37" s="825"/>
      <c r="J37" s="811"/>
      <c r="K37" s="846"/>
      <c r="L37" s="833"/>
      <c r="M37" s="833"/>
      <c r="N37" s="842"/>
      <c r="O37" s="50"/>
      <c r="P37" s="51"/>
      <c r="Q37" s="29"/>
      <c r="R37" s="29"/>
    </row>
    <row r="38" spans="1:18" ht="15.75" customHeight="1">
      <c r="A38" s="27" t="s">
        <v>987</v>
      </c>
      <c r="B38" s="28"/>
      <c r="C38" s="29"/>
      <c r="D38" s="825"/>
      <c r="E38" s="810">
        <f>F38+G38+H38+I38</f>
        <v>0</v>
      </c>
      <c r="F38" s="825"/>
      <c r="G38" s="825"/>
      <c r="H38" s="825"/>
      <c r="I38" s="825"/>
      <c r="J38" s="811"/>
      <c r="K38" s="846"/>
      <c r="L38" s="833"/>
      <c r="M38" s="833"/>
      <c r="N38" s="842"/>
      <c r="O38" s="50"/>
      <c r="P38" s="51"/>
      <c r="Q38" s="29"/>
      <c r="R38" s="29"/>
    </row>
    <row r="39" spans="1:18" ht="15.75" customHeight="1">
      <c r="A39" s="26" t="s">
        <v>988</v>
      </c>
      <c r="B39" s="24"/>
      <c r="C39" s="5"/>
      <c r="D39" s="826">
        <v>2700</v>
      </c>
      <c r="E39" s="810">
        <f>F39+G39+H39+I39</f>
        <v>18860</v>
      </c>
      <c r="F39" s="825">
        <v>8060</v>
      </c>
      <c r="G39" s="825">
        <v>7000</v>
      </c>
      <c r="H39" s="825">
        <v>1800</v>
      </c>
      <c r="I39" s="825">
        <v>2000</v>
      </c>
      <c r="J39" s="811"/>
      <c r="K39" s="846"/>
      <c r="L39" s="843">
        <v>3000</v>
      </c>
      <c r="M39" s="834">
        <v>1500</v>
      </c>
      <c r="N39" s="842">
        <v>2000</v>
      </c>
      <c r="O39" s="39"/>
      <c r="P39" s="46"/>
      <c r="Q39" s="5"/>
      <c r="R39" s="5"/>
    </row>
    <row r="40" spans="1:18" ht="15.75" customHeight="1">
      <c r="A40" s="26" t="s">
        <v>989</v>
      </c>
      <c r="B40" s="24"/>
      <c r="C40" s="5"/>
      <c r="D40" s="825"/>
      <c r="E40" s="810">
        <f>F40+G40+H40+I40</f>
        <v>550</v>
      </c>
      <c r="F40" s="825">
        <v>400</v>
      </c>
      <c r="G40" s="825">
        <v>150</v>
      </c>
      <c r="H40" s="825"/>
      <c r="I40" s="825"/>
      <c r="J40" s="811"/>
      <c r="K40" s="846"/>
      <c r="L40" s="833">
        <v>3000</v>
      </c>
      <c r="M40" s="834">
        <v>1000</v>
      </c>
      <c r="N40" s="842">
        <v>1000</v>
      </c>
      <c r="O40" s="39"/>
      <c r="P40" s="46"/>
      <c r="Q40" s="5"/>
      <c r="R40" s="5"/>
    </row>
    <row r="41" spans="1:18" ht="15.75" customHeight="1">
      <c r="A41" s="23" t="s">
        <v>66</v>
      </c>
      <c r="B41" s="24" t="s">
        <v>67</v>
      </c>
      <c r="C41" s="5"/>
      <c r="D41" s="825"/>
      <c r="E41" s="810">
        <f>F41+G41+H41+I41</f>
        <v>360</v>
      </c>
      <c r="F41" s="825"/>
      <c r="G41" s="825">
        <v>360</v>
      </c>
      <c r="H41" s="825"/>
      <c r="I41" s="825"/>
      <c r="J41" s="811"/>
      <c r="K41" s="846"/>
      <c r="L41" s="833">
        <v>50845.03</v>
      </c>
      <c r="M41" s="834"/>
      <c r="N41" s="833"/>
      <c r="O41" s="39"/>
      <c r="P41" s="46"/>
      <c r="Q41" s="5"/>
      <c r="R41" s="5"/>
    </row>
    <row r="42" spans="1:18" s="1" customFormat="1" ht="15.75" customHeight="1">
      <c r="A42" s="30" t="s">
        <v>68</v>
      </c>
      <c r="B42" s="31" t="s">
        <v>67</v>
      </c>
      <c r="C42" s="32">
        <f t="shared" ref="C42:R42" si="8">SUM(C43,C54,C55,C58,C59)</f>
        <v>0</v>
      </c>
      <c r="D42" s="827">
        <f t="shared" si="8"/>
        <v>2820</v>
      </c>
      <c r="E42" s="812">
        <f t="shared" si="8"/>
        <v>22178</v>
      </c>
      <c r="F42" s="827">
        <f t="shared" si="8"/>
        <v>8960</v>
      </c>
      <c r="G42" s="854">
        <f t="shared" si="8"/>
        <v>9128</v>
      </c>
      <c r="H42" s="854">
        <f t="shared" si="8"/>
        <v>1820</v>
      </c>
      <c r="I42" s="854">
        <f t="shared" si="8"/>
        <v>2270</v>
      </c>
      <c r="J42" s="813">
        <f t="shared" si="8"/>
        <v>0</v>
      </c>
      <c r="K42" s="847">
        <f t="shared" si="8"/>
        <v>0</v>
      </c>
      <c r="L42" s="835">
        <f t="shared" si="8"/>
        <v>592861.87</v>
      </c>
      <c r="M42" s="835">
        <f t="shared" si="8"/>
        <v>75843.850000000006</v>
      </c>
      <c r="N42" s="835">
        <f t="shared" si="8"/>
        <v>44082</v>
      </c>
      <c r="O42" s="32">
        <f t="shared" si="8"/>
        <v>0</v>
      </c>
      <c r="P42" s="52">
        <f t="shared" si="8"/>
        <v>0</v>
      </c>
      <c r="Q42" s="32">
        <f t="shared" si="8"/>
        <v>0</v>
      </c>
      <c r="R42" s="32">
        <f t="shared" si="8"/>
        <v>0</v>
      </c>
    </row>
    <row r="43" spans="1:18" s="2" customFormat="1" ht="15.75" customHeight="1">
      <c r="A43" s="33" t="s">
        <v>990</v>
      </c>
      <c r="B43" s="34" t="s">
        <v>69</v>
      </c>
      <c r="C43" s="35">
        <f t="shared" ref="C43:R43" si="9">SUM(C44:C53)</f>
        <v>0</v>
      </c>
      <c r="D43" s="828">
        <f t="shared" si="9"/>
        <v>2820</v>
      </c>
      <c r="E43" s="812">
        <f t="shared" si="9"/>
        <v>21650</v>
      </c>
      <c r="F43" s="828">
        <f t="shared" si="9"/>
        <v>8560</v>
      </c>
      <c r="G43" s="855">
        <f t="shared" si="9"/>
        <v>9000</v>
      </c>
      <c r="H43" s="855">
        <f t="shared" si="9"/>
        <v>1820</v>
      </c>
      <c r="I43" s="855">
        <f t="shared" si="9"/>
        <v>2270</v>
      </c>
      <c r="J43" s="814">
        <f t="shared" si="9"/>
        <v>0</v>
      </c>
      <c r="K43" s="848">
        <f t="shared" si="9"/>
        <v>0</v>
      </c>
      <c r="L43" s="836">
        <f t="shared" si="9"/>
        <v>587262.03</v>
      </c>
      <c r="M43" s="836">
        <f t="shared" si="9"/>
        <v>73019.509999999995</v>
      </c>
      <c r="N43" s="836">
        <f t="shared" si="9"/>
        <v>43104</v>
      </c>
      <c r="O43" s="35">
        <f t="shared" si="9"/>
        <v>0</v>
      </c>
      <c r="P43" s="53">
        <f t="shared" si="9"/>
        <v>0</v>
      </c>
      <c r="Q43" s="35">
        <f t="shared" si="9"/>
        <v>0</v>
      </c>
      <c r="R43" s="35">
        <f t="shared" si="9"/>
        <v>0</v>
      </c>
    </row>
    <row r="44" spans="1:18" ht="15.75" customHeight="1">
      <c r="A44" s="26" t="s">
        <v>70</v>
      </c>
      <c r="B44" s="24" t="s">
        <v>71</v>
      </c>
      <c r="C44" s="5"/>
      <c r="D44" s="826">
        <v>2620</v>
      </c>
      <c r="E44" s="812">
        <f t="shared" ref="E44:E54" si="10">F44+G44+H44+I44</f>
        <v>15175.16</v>
      </c>
      <c r="F44" s="826">
        <v>6000</v>
      </c>
      <c r="G44" s="825">
        <v>6300</v>
      </c>
      <c r="H44" s="825">
        <v>800</v>
      </c>
      <c r="I44" s="825">
        <v>2075.16</v>
      </c>
      <c r="J44" s="811"/>
      <c r="K44" s="846"/>
      <c r="L44" s="834">
        <v>294283</v>
      </c>
      <c r="M44" s="834">
        <v>52041</v>
      </c>
      <c r="N44" s="837">
        <v>32205</v>
      </c>
      <c r="O44" s="39"/>
      <c r="P44" s="46"/>
      <c r="Q44" s="5"/>
      <c r="R44" s="5"/>
    </row>
    <row r="45" spans="1:18" ht="15.75" customHeight="1">
      <c r="A45" s="26" t="s">
        <v>72</v>
      </c>
      <c r="B45" s="24" t="s">
        <v>73</v>
      </c>
      <c r="C45" s="5"/>
      <c r="D45" s="825">
        <v>200</v>
      </c>
      <c r="E45" s="812">
        <f t="shared" si="10"/>
        <v>5679.84</v>
      </c>
      <c r="F45" s="826">
        <v>2500</v>
      </c>
      <c r="G45" s="825">
        <v>1965</v>
      </c>
      <c r="H45" s="825">
        <v>1020</v>
      </c>
      <c r="I45" s="825">
        <v>194.84</v>
      </c>
      <c r="J45" s="811"/>
      <c r="K45" s="846"/>
      <c r="L45" s="834">
        <v>241554</v>
      </c>
      <c r="M45" s="834">
        <v>20378.509999999998</v>
      </c>
      <c r="N45" s="834">
        <v>6274</v>
      </c>
      <c r="O45" s="39"/>
      <c r="P45" s="46">
        <f>1770-1770</f>
        <v>0</v>
      </c>
      <c r="Q45" s="5"/>
      <c r="R45" s="5"/>
    </row>
    <row r="46" spans="1:18" ht="15.75" customHeight="1">
      <c r="A46" s="26" t="s">
        <v>74</v>
      </c>
      <c r="B46" s="24" t="s">
        <v>75</v>
      </c>
      <c r="C46" s="5"/>
      <c r="D46" s="825"/>
      <c r="E46" s="810">
        <f t="shared" si="10"/>
        <v>0</v>
      </c>
      <c r="F46" s="825"/>
      <c r="G46" s="825"/>
      <c r="H46" s="825"/>
      <c r="I46" s="825"/>
      <c r="J46" s="811"/>
      <c r="K46" s="846"/>
      <c r="L46" s="833"/>
      <c r="M46" s="833"/>
      <c r="N46" s="833"/>
      <c r="O46" s="39"/>
      <c r="P46" s="46"/>
      <c r="Q46" s="5"/>
      <c r="R46" s="5"/>
    </row>
    <row r="47" spans="1:18" ht="15.75" customHeight="1">
      <c r="A47" s="26" t="s">
        <v>76</v>
      </c>
      <c r="B47" s="24" t="s">
        <v>77</v>
      </c>
      <c r="C47" s="5"/>
      <c r="D47" s="825"/>
      <c r="E47" s="810">
        <f t="shared" si="10"/>
        <v>0</v>
      </c>
      <c r="F47" s="825"/>
      <c r="G47" s="825"/>
      <c r="H47" s="825"/>
      <c r="I47" s="825"/>
      <c r="J47" s="811"/>
      <c r="K47" s="846"/>
      <c r="L47" s="833"/>
      <c r="M47" s="833"/>
      <c r="N47" s="833"/>
      <c r="O47" s="39"/>
      <c r="P47" s="46"/>
      <c r="Q47" s="5"/>
      <c r="R47" s="5"/>
    </row>
    <row r="48" spans="1:18" ht="15.75" customHeight="1">
      <c r="A48" s="26" t="s">
        <v>78</v>
      </c>
      <c r="B48" s="24" t="s">
        <v>79</v>
      </c>
      <c r="C48" s="5"/>
      <c r="D48" s="825"/>
      <c r="E48" s="810">
        <f t="shared" si="10"/>
        <v>0</v>
      </c>
      <c r="F48" s="825"/>
      <c r="G48" s="825"/>
      <c r="H48" s="825"/>
      <c r="I48" s="825"/>
      <c r="J48" s="811"/>
      <c r="K48" s="846"/>
      <c r="L48" s="833"/>
      <c r="M48" s="833"/>
      <c r="N48" s="833"/>
      <c r="O48" s="39"/>
      <c r="P48" s="46"/>
      <c r="Q48" s="5"/>
      <c r="R48" s="5"/>
    </row>
    <row r="49" spans="1:18" ht="15.75" customHeight="1">
      <c r="A49" s="26" t="s">
        <v>80</v>
      </c>
      <c r="B49" s="24" t="s">
        <v>81</v>
      </c>
      <c r="C49" s="5"/>
      <c r="D49" s="825"/>
      <c r="E49" s="810">
        <f t="shared" si="10"/>
        <v>0</v>
      </c>
      <c r="F49" s="825"/>
      <c r="G49" s="825"/>
      <c r="H49" s="825"/>
      <c r="I49" s="825"/>
      <c r="J49" s="811"/>
      <c r="K49" s="846"/>
      <c r="L49" s="833"/>
      <c r="M49" s="833"/>
      <c r="N49" s="833"/>
      <c r="O49" s="39"/>
      <c r="P49" s="46"/>
      <c r="Q49" s="5"/>
      <c r="R49" s="5"/>
    </row>
    <row r="50" spans="1:18" ht="15.75" customHeight="1">
      <c r="A50" s="26" t="s">
        <v>82</v>
      </c>
      <c r="B50" s="24" t="s">
        <v>83</v>
      </c>
      <c r="C50" s="5"/>
      <c r="D50" s="825"/>
      <c r="E50" s="810">
        <f t="shared" si="10"/>
        <v>0</v>
      </c>
      <c r="F50" s="825"/>
      <c r="G50" s="825"/>
      <c r="H50" s="825"/>
      <c r="I50" s="825"/>
      <c r="J50" s="811"/>
      <c r="K50" s="846"/>
      <c r="L50" s="833"/>
      <c r="M50" s="833"/>
      <c r="N50" s="833"/>
      <c r="O50" s="39"/>
      <c r="P50" s="46"/>
      <c r="Q50" s="5"/>
      <c r="R50" s="5"/>
    </row>
    <row r="51" spans="1:18" ht="48" customHeight="1">
      <c r="A51" s="36" t="s">
        <v>991</v>
      </c>
      <c r="B51" s="24" t="s">
        <v>85</v>
      </c>
      <c r="C51" s="5"/>
      <c r="D51" s="825"/>
      <c r="E51" s="810">
        <f t="shared" si="10"/>
        <v>735</v>
      </c>
      <c r="F51" s="825"/>
      <c r="G51" s="825">
        <v>735</v>
      </c>
      <c r="H51" s="825"/>
      <c r="I51" s="825"/>
      <c r="J51" s="811"/>
      <c r="K51" s="846"/>
      <c r="L51" s="833">
        <v>50845.03</v>
      </c>
      <c r="M51" s="834"/>
      <c r="N51" s="834">
        <v>4380</v>
      </c>
      <c r="O51" s="39"/>
      <c r="P51" s="46"/>
      <c r="Q51" s="5"/>
      <c r="R51" s="5"/>
    </row>
    <row r="52" spans="1:18" ht="15.75" customHeight="1">
      <c r="A52" s="26" t="s">
        <v>86</v>
      </c>
      <c r="B52" s="24" t="s">
        <v>87</v>
      </c>
      <c r="C52" s="5"/>
      <c r="D52" s="825"/>
      <c r="E52" s="810">
        <f t="shared" si="10"/>
        <v>0</v>
      </c>
      <c r="F52" s="825"/>
      <c r="G52" s="825"/>
      <c r="H52" s="825"/>
      <c r="I52" s="825"/>
      <c r="J52" s="811"/>
      <c r="K52" s="846"/>
      <c r="L52" s="833"/>
      <c r="M52" s="833"/>
      <c r="N52" s="833"/>
      <c r="O52" s="39"/>
      <c r="P52" s="46"/>
      <c r="Q52" s="5"/>
      <c r="R52" s="5"/>
    </row>
    <row r="53" spans="1:18" ht="15.75" customHeight="1">
      <c r="A53" s="26" t="s">
        <v>88</v>
      </c>
      <c r="B53" s="24" t="s">
        <v>89</v>
      </c>
      <c r="C53" s="5"/>
      <c r="D53" s="825"/>
      <c r="E53" s="810">
        <f t="shared" si="10"/>
        <v>60</v>
      </c>
      <c r="F53" s="825">
        <v>60</v>
      </c>
      <c r="G53" s="825"/>
      <c r="H53" s="825"/>
      <c r="I53" s="825"/>
      <c r="J53" s="811"/>
      <c r="K53" s="846"/>
      <c r="L53" s="833">
        <v>580</v>
      </c>
      <c r="M53" s="833">
        <v>600</v>
      </c>
      <c r="N53" s="833">
        <v>245</v>
      </c>
      <c r="O53" s="39"/>
      <c r="P53" s="46"/>
      <c r="Q53" s="5"/>
      <c r="R53" s="5"/>
    </row>
    <row r="54" spans="1:18" ht="15.75" customHeight="1">
      <c r="A54" s="37" t="s">
        <v>90</v>
      </c>
      <c r="B54" s="38" t="s">
        <v>91</v>
      </c>
      <c r="C54" s="39"/>
      <c r="D54" s="825"/>
      <c r="E54" s="810">
        <f t="shared" si="10"/>
        <v>550</v>
      </c>
      <c r="F54" s="825">
        <v>400</v>
      </c>
      <c r="G54" s="825">
        <v>150</v>
      </c>
      <c r="H54" s="825"/>
      <c r="I54" s="825"/>
      <c r="J54" s="815"/>
      <c r="K54" s="849"/>
      <c r="L54" s="837">
        <v>5599.84</v>
      </c>
      <c r="M54" s="837">
        <v>3038.77</v>
      </c>
      <c r="N54" s="838">
        <v>1120</v>
      </c>
      <c r="O54" s="39"/>
      <c r="P54" s="46"/>
      <c r="Q54" s="39"/>
      <c r="R54" s="39"/>
    </row>
    <row r="55" spans="1:18" ht="15.75" customHeight="1">
      <c r="A55" s="37" t="s">
        <v>92</v>
      </c>
      <c r="B55" s="38" t="s">
        <v>93</v>
      </c>
      <c r="C55" s="39">
        <f t="shared" ref="C55:R55" si="11">SUM(C56,C57)</f>
        <v>0</v>
      </c>
      <c r="D55" s="825">
        <f t="shared" si="11"/>
        <v>0</v>
      </c>
      <c r="E55" s="810">
        <f t="shared" si="11"/>
        <v>0</v>
      </c>
      <c r="F55" s="825">
        <f t="shared" si="11"/>
        <v>0</v>
      </c>
      <c r="G55" s="825">
        <f t="shared" si="11"/>
        <v>0</v>
      </c>
      <c r="H55" s="825">
        <f t="shared" si="11"/>
        <v>0</v>
      </c>
      <c r="I55" s="825">
        <f t="shared" si="11"/>
        <v>0</v>
      </c>
      <c r="J55" s="815">
        <f t="shared" si="11"/>
        <v>0</v>
      </c>
      <c r="K55" s="849">
        <f t="shared" si="11"/>
        <v>0</v>
      </c>
      <c r="L55" s="838">
        <f t="shared" si="11"/>
        <v>0</v>
      </c>
      <c r="M55" s="838">
        <f t="shared" si="11"/>
        <v>0</v>
      </c>
      <c r="N55" s="838">
        <f t="shared" si="11"/>
        <v>0</v>
      </c>
      <c r="O55" s="39">
        <f t="shared" si="11"/>
        <v>0</v>
      </c>
      <c r="P55" s="46">
        <f t="shared" si="11"/>
        <v>0</v>
      </c>
      <c r="Q55" s="39">
        <f t="shared" si="11"/>
        <v>0</v>
      </c>
      <c r="R55" s="39">
        <f t="shared" si="11"/>
        <v>0</v>
      </c>
    </row>
    <row r="56" spans="1:18" ht="15.75" customHeight="1">
      <c r="A56" s="26" t="s">
        <v>94</v>
      </c>
      <c r="B56" s="24" t="s">
        <v>95</v>
      </c>
      <c r="C56" s="5"/>
      <c r="D56" s="825"/>
      <c r="E56" s="810">
        <f>F56+G56+H56+I56</f>
        <v>0</v>
      </c>
      <c r="F56" s="825"/>
      <c r="G56" s="825"/>
      <c r="H56" s="825"/>
      <c r="I56" s="825"/>
      <c r="J56" s="811"/>
      <c r="K56" s="846"/>
      <c r="L56" s="833"/>
      <c r="M56" s="833"/>
      <c r="N56" s="833"/>
      <c r="O56" s="39"/>
      <c r="P56" s="46"/>
      <c r="Q56" s="5"/>
      <c r="R56" s="5"/>
    </row>
    <row r="57" spans="1:18" ht="24.75" customHeight="1">
      <c r="A57" s="40" t="s">
        <v>96</v>
      </c>
      <c r="B57" s="24" t="s">
        <v>97</v>
      </c>
      <c r="C57" s="5"/>
      <c r="D57" s="823"/>
      <c r="E57" s="816">
        <f>F57+G57+H57+I57</f>
        <v>0</v>
      </c>
      <c r="F57" s="823"/>
      <c r="G57" s="823"/>
      <c r="H57" s="823"/>
      <c r="I57" s="823"/>
      <c r="J57" s="817"/>
      <c r="K57" s="844"/>
      <c r="L57" s="830"/>
      <c r="M57" s="830"/>
      <c r="N57" s="830"/>
      <c r="O57" s="39"/>
      <c r="P57" s="46"/>
      <c r="Q57" s="5"/>
      <c r="R57" s="5"/>
    </row>
    <row r="58" spans="1:18" ht="45" customHeight="1">
      <c r="A58" s="41" t="s">
        <v>98</v>
      </c>
      <c r="B58" s="38" t="s">
        <v>99</v>
      </c>
      <c r="C58" s="39"/>
      <c r="D58" s="823"/>
      <c r="E58" s="816">
        <f>F58+G58+H58+I58</f>
        <v>-22</v>
      </c>
      <c r="F58" s="823"/>
      <c r="G58" s="823">
        <v>-22</v>
      </c>
      <c r="H58" s="823"/>
      <c r="I58" s="823"/>
      <c r="J58" s="818"/>
      <c r="K58" s="850"/>
      <c r="L58" s="839"/>
      <c r="M58" s="839">
        <v>-214.43</v>
      </c>
      <c r="N58" s="839">
        <v>-142</v>
      </c>
      <c r="O58" s="39"/>
      <c r="P58" s="46"/>
      <c r="Q58" s="39"/>
      <c r="R58" s="39"/>
    </row>
    <row r="59" spans="1:18" ht="15.75" customHeight="1">
      <c r="A59" s="41" t="s">
        <v>100</v>
      </c>
      <c r="B59" s="38" t="s">
        <v>101</v>
      </c>
      <c r="C59" s="39"/>
      <c r="D59" s="823"/>
      <c r="E59" s="816">
        <f>F59+G59+H59+I59</f>
        <v>0</v>
      </c>
      <c r="F59" s="823"/>
      <c r="G59" s="823"/>
      <c r="H59" s="823"/>
      <c r="I59" s="823"/>
      <c r="J59" s="818"/>
      <c r="K59" s="850"/>
      <c r="L59" s="839"/>
      <c r="M59" s="839"/>
      <c r="N59" s="839"/>
      <c r="O59" s="39"/>
      <c r="P59" s="46"/>
      <c r="Q59" s="39"/>
      <c r="R59" s="39"/>
    </row>
    <row r="60" spans="1:18" ht="27" customHeight="1">
      <c r="A60" s="25" t="s">
        <v>992</v>
      </c>
      <c r="B60" s="24" t="s">
        <v>102</v>
      </c>
      <c r="C60" s="5"/>
      <c r="D60" s="829">
        <f t="shared" ref="D60:K60" si="12">D30+D35+D41-D42+D31</f>
        <v>0</v>
      </c>
      <c r="E60" s="819">
        <f t="shared" si="12"/>
        <v>0</v>
      </c>
      <c r="F60" s="852">
        <f t="shared" si="12"/>
        <v>0</v>
      </c>
      <c r="G60" s="856">
        <f t="shared" si="12"/>
        <v>0</v>
      </c>
      <c r="H60" s="856">
        <f t="shared" si="12"/>
        <v>0</v>
      </c>
      <c r="I60" s="856">
        <f t="shared" si="12"/>
        <v>0</v>
      </c>
      <c r="J60" s="820">
        <f t="shared" si="12"/>
        <v>0</v>
      </c>
      <c r="K60" s="844">
        <f t="shared" si="12"/>
        <v>0</v>
      </c>
      <c r="L60" s="840">
        <f>L14-L42</f>
        <v>-7622</v>
      </c>
      <c r="M60" s="840">
        <f>M14-M42</f>
        <v>-10118.850000000006</v>
      </c>
      <c r="N60" s="832">
        <f>N14-N42</f>
        <v>-579</v>
      </c>
      <c r="O60" s="39">
        <f>O30+O35+O41-O42+O31</f>
        <v>0</v>
      </c>
      <c r="P60" s="46">
        <f>P30+P35+P41-P42+P31</f>
        <v>0</v>
      </c>
      <c r="Q60" s="5"/>
      <c r="R60" s="5"/>
    </row>
    <row r="61" spans="1:18" ht="15.75" customHeight="1">
      <c r="A61" s="42" t="s">
        <v>103</v>
      </c>
      <c r="B61" s="24" t="s">
        <v>104</v>
      </c>
      <c r="C61" s="5"/>
      <c r="D61" s="823"/>
      <c r="E61" s="816"/>
      <c r="F61" s="823"/>
      <c r="G61" s="823"/>
      <c r="H61" s="823"/>
      <c r="I61" s="823"/>
      <c r="J61" s="821"/>
      <c r="K61" s="844"/>
      <c r="L61" s="830"/>
      <c r="M61" s="830"/>
      <c r="N61" s="830"/>
      <c r="O61" s="39"/>
      <c r="P61" s="46"/>
      <c r="Q61" s="5"/>
      <c r="R61" s="5"/>
    </row>
    <row r="62" spans="1:18" ht="24.75" customHeight="1">
      <c r="A62" s="43" t="s">
        <v>105</v>
      </c>
      <c r="B62" s="24" t="s">
        <v>106</v>
      </c>
      <c r="C62" s="5"/>
      <c r="D62" s="823"/>
      <c r="E62" s="816"/>
      <c r="F62" s="823"/>
      <c r="G62" s="823"/>
      <c r="H62" s="823"/>
      <c r="I62" s="823"/>
      <c r="J62" s="821"/>
      <c r="K62" s="844"/>
      <c r="L62" s="830"/>
      <c r="M62" s="830"/>
      <c r="N62" s="830"/>
      <c r="O62" s="39"/>
      <c r="P62" s="46"/>
      <c r="Q62" s="5"/>
      <c r="R62" s="5"/>
    </row>
    <row r="63" spans="1:18" ht="15.75" customHeight="1">
      <c r="A63" s="44" t="s">
        <v>107</v>
      </c>
      <c r="B63" s="24" t="s">
        <v>108</v>
      </c>
      <c r="C63" s="5"/>
      <c r="D63" s="823"/>
      <c r="E63" s="816"/>
      <c r="F63" s="823"/>
      <c r="G63" s="823"/>
      <c r="H63" s="823"/>
      <c r="I63" s="823"/>
      <c r="J63" s="821">
        <f>J44+J45+J58</f>
        <v>0</v>
      </c>
      <c r="K63" s="844"/>
      <c r="L63" s="830"/>
      <c r="M63" s="830"/>
      <c r="N63" s="830"/>
      <c r="O63" s="39"/>
      <c r="P63" s="46"/>
      <c r="Q63" s="5"/>
      <c r="R63" s="5"/>
    </row>
    <row r="64" spans="1:18" ht="15.75" customHeight="1">
      <c r="A64" s="44" t="s">
        <v>109</v>
      </c>
      <c r="B64" s="24" t="s">
        <v>110</v>
      </c>
      <c r="C64" s="5"/>
      <c r="D64" s="823"/>
      <c r="E64" s="816"/>
      <c r="F64" s="823"/>
      <c r="G64" s="823"/>
      <c r="H64" s="823"/>
      <c r="I64" s="823"/>
      <c r="J64" s="821">
        <f>SUM(J51,J54)</f>
        <v>0</v>
      </c>
      <c r="K64" s="844"/>
      <c r="L64" s="830"/>
      <c r="M64" s="830"/>
      <c r="N64" s="830"/>
      <c r="O64" s="39"/>
      <c r="P64" s="46"/>
      <c r="Q64" s="5"/>
      <c r="R64" s="5"/>
    </row>
    <row r="65" spans="1:18" ht="24.75" customHeight="1">
      <c r="A65" s="43" t="s">
        <v>111</v>
      </c>
      <c r="B65" s="24" t="s">
        <v>112</v>
      </c>
      <c r="C65" s="5"/>
      <c r="D65" s="823"/>
      <c r="E65" s="816"/>
      <c r="F65" s="823"/>
      <c r="G65" s="823"/>
      <c r="H65" s="823"/>
      <c r="I65" s="823"/>
      <c r="J65" s="821"/>
      <c r="K65" s="844"/>
      <c r="L65" s="830"/>
      <c r="M65" s="830"/>
      <c r="N65" s="830"/>
      <c r="O65" s="39"/>
      <c r="P65" s="46"/>
      <c r="Q65" s="5"/>
      <c r="R65" s="5"/>
    </row>
    <row r="66" spans="1:18" ht="15.75" customHeight="1">
      <c r="A66" s="44" t="s">
        <v>107</v>
      </c>
      <c r="B66" s="24" t="s">
        <v>113</v>
      </c>
      <c r="C66" s="5"/>
      <c r="D66" s="829">
        <f>SUM(D44:D45)</f>
        <v>2820</v>
      </c>
      <c r="E66" s="816"/>
      <c r="F66" s="823"/>
      <c r="G66" s="823"/>
      <c r="H66" s="823"/>
      <c r="I66" s="823"/>
      <c r="J66" s="821"/>
      <c r="K66" s="844"/>
      <c r="L66" s="830"/>
      <c r="M66" s="830"/>
      <c r="N66" s="830"/>
      <c r="O66" s="39"/>
      <c r="P66" s="46"/>
      <c r="Q66" s="5"/>
      <c r="R66" s="5"/>
    </row>
    <row r="67" spans="1:18" ht="15.75" customHeight="1">
      <c r="A67" s="44" t="s">
        <v>109</v>
      </c>
      <c r="B67" s="24" t="s">
        <v>114</v>
      </c>
      <c r="C67" s="5"/>
      <c r="D67" s="823">
        <f>SUM(D51,D54)</f>
        <v>0</v>
      </c>
      <c r="E67" s="816"/>
      <c r="F67" s="823"/>
      <c r="G67" s="823"/>
      <c r="H67" s="823"/>
      <c r="I67" s="823"/>
      <c r="J67" s="821"/>
      <c r="K67" s="844"/>
      <c r="L67" s="830"/>
      <c r="M67" s="830"/>
      <c r="N67" s="830"/>
      <c r="O67" s="39"/>
      <c r="P67" s="46"/>
      <c r="Q67" s="5"/>
      <c r="R67" s="5"/>
    </row>
    <row r="68" spans="1:18" ht="24.75" customHeight="1">
      <c r="A68" s="43" t="s">
        <v>115</v>
      </c>
      <c r="B68" s="24" t="s">
        <v>116</v>
      </c>
      <c r="C68" s="5"/>
      <c r="D68" s="823"/>
      <c r="E68" s="816"/>
      <c r="F68" s="823"/>
      <c r="G68" s="823"/>
      <c r="H68" s="823"/>
      <c r="I68" s="823"/>
      <c r="J68" s="821"/>
      <c r="K68" s="844"/>
      <c r="L68" s="830"/>
      <c r="M68" s="830"/>
      <c r="N68" s="830"/>
      <c r="O68" s="39"/>
      <c r="P68" s="46"/>
      <c r="Q68" s="5"/>
      <c r="R68" s="5"/>
    </row>
    <row r="69" spans="1:18" ht="15.75" customHeight="1">
      <c r="A69" s="44" t="s">
        <v>107</v>
      </c>
      <c r="B69" s="24" t="s">
        <v>117</v>
      </c>
      <c r="C69" s="5"/>
      <c r="D69" s="823"/>
      <c r="E69" s="816"/>
      <c r="F69" s="823"/>
      <c r="G69" s="823"/>
      <c r="H69" s="823"/>
      <c r="I69" s="823"/>
      <c r="J69" s="821"/>
      <c r="K69" s="844"/>
      <c r="L69" s="830"/>
      <c r="M69" s="830"/>
      <c r="N69" s="830"/>
      <c r="O69" s="39"/>
      <c r="P69" s="46"/>
      <c r="Q69" s="5"/>
      <c r="R69" s="5"/>
    </row>
    <row r="70" spans="1:18" ht="15.75" customHeight="1">
      <c r="A70" s="44" t="s">
        <v>109</v>
      </c>
      <c r="B70" s="24" t="s">
        <v>118</v>
      </c>
      <c r="C70" s="5"/>
      <c r="D70" s="823"/>
      <c r="E70" s="816"/>
      <c r="F70" s="823"/>
      <c r="G70" s="823"/>
      <c r="H70" s="823"/>
      <c r="I70" s="823"/>
      <c r="J70" s="821"/>
      <c r="K70" s="844"/>
      <c r="L70" s="830"/>
      <c r="M70" s="830"/>
      <c r="N70" s="830"/>
      <c r="O70" s="39"/>
      <c r="P70" s="46"/>
      <c r="Q70" s="5"/>
      <c r="R70" s="5"/>
    </row>
    <row r="71" spans="1:18" ht="36.75" customHeight="1">
      <c r="A71" s="43" t="s">
        <v>119</v>
      </c>
      <c r="B71" s="24" t="s">
        <v>120</v>
      </c>
      <c r="C71" s="5"/>
      <c r="D71" s="823"/>
      <c r="E71" s="816"/>
      <c r="F71" s="823"/>
      <c r="G71" s="823"/>
      <c r="H71" s="823"/>
      <c r="I71" s="823"/>
      <c r="J71" s="821"/>
      <c r="K71" s="844"/>
      <c r="L71" s="830"/>
      <c r="M71" s="830"/>
      <c r="N71" s="830"/>
      <c r="O71" s="39"/>
      <c r="P71" s="46"/>
      <c r="Q71" s="5"/>
      <c r="R71" s="5"/>
    </row>
    <row r="72" spans="1:18" ht="15.75" customHeight="1">
      <c r="A72" s="44" t="s">
        <v>107</v>
      </c>
      <c r="B72" s="24" t="s">
        <v>121</v>
      </c>
      <c r="C72" s="5"/>
      <c r="D72" s="823"/>
      <c r="E72" s="816"/>
      <c r="F72" s="823"/>
      <c r="G72" s="823"/>
      <c r="H72" s="823"/>
      <c r="I72" s="823"/>
      <c r="J72" s="821"/>
      <c r="K72" s="844"/>
      <c r="L72" s="830"/>
      <c r="M72" s="830"/>
      <c r="N72" s="830"/>
      <c r="O72" s="39"/>
      <c r="P72" s="46"/>
      <c r="Q72" s="5"/>
      <c r="R72" s="5"/>
    </row>
    <row r="73" spans="1:18" ht="15.75" customHeight="1">
      <c r="A73" s="44" t="s">
        <v>109</v>
      </c>
      <c r="B73" s="24" t="s">
        <v>122</v>
      </c>
      <c r="C73" s="5"/>
      <c r="D73" s="823"/>
      <c r="E73" s="816"/>
      <c r="F73" s="823"/>
      <c r="G73" s="823"/>
      <c r="H73" s="823"/>
      <c r="I73" s="823"/>
      <c r="J73" s="821"/>
      <c r="K73" s="844"/>
      <c r="L73" s="830"/>
      <c r="M73" s="830"/>
      <c r="N73" s="830"/>
      <c r="O73" s="39"/>
      <c r="P73" s="46"/>
      <c r="Q73" s="5"/>
      <c r="R73" s="5"/>
    </row>
    <row r="74" spans="1:18" ht="15.75" customHeight="1">
      <c r="A74" s="43" t="s">
        <v>123</v>
      </c>
      <c r="B74" s="24" t="s">
        <v>124</v>
      </c>
      <c r="C74" s="5"/>
      <c r="D74" s="823"/>
      <c r="E74" s="816"/>
      <c r="F74" s="823"/>
      <c r="G74" s="823"/>
      <c r="H74" s="823"/>
      <c r="I74" s="823"/>
      <c r="J74" s="821"/>
      <c r="K74" s="844"/>
      <c r="L74" s="830"/>
      <c r="M74" s="830"/>
      <c r="N74" s="830"/>
      <c r="O74" s="39"/>
      <c r="P74" s="46"/>
      <c r="Q74" s="5"/>
      <c r="R74" s="5"/>
    </row>
    <row r="75" spans="1:18" ht="15.75" customHeight="1">
      <c r="A75" s="44" t="s">
        <v>107</v>
      </c>
      <c r="B75" s="24" t="s">
        <v>125</v>
      </c>
      <c r="C75" s="5"/>
      <c r="D75" s="823"/>
      <c r="E75" s="816"/>
      <c r="F75" s="823"/>
      <c r="G75" s="823"/>
      <c r="H75" s="823"/>
      <c r="I75" s="823"/>
      <c r="J75" s="821"/>
      <c r="K75" s="844"/>
      <c r="L75" s="830"/>
      <c r="M75" s="830"/>
      <c r="N75" s="830"/>
      <c r="O75" s="39"/>
      <c r="P75" s="46"/>
      <c r="Q75" s="5"/>
      <c r="R75" s="5"/>
    </row>
    <row r="76" spans="1:18" ht="15.75" customHeight="1">
      <c r="A76" s="44" t="s">
        <v>109</v>
      </c>
      <c r="B76" s="24" t="s">
        <v>126</v>
      </c>
      <c r="C76" s="5"/>
      <c r="D76" s="823"/>
      <c r="E76" s="816"/>
      <c r="F76" s="823"/>
      <c r="G76" s="823"/>
      <c r="H76" s="823"/>
      <c r="I76" s="823"/>
      <c r="J76" s="821"/>
      <c r="K76" s="844"/>
      <c r="L76" s="830"/>
      <c r="M76" s="830"/>
      <c r="N76" s="830"/>
      <c r="O76" s="39"/>
      <c r="P76" s="46"/>
      <c r="Q76" s="5"/>
      <c r="R76" s="5"/>
    </row>
    <row r="77" spans="1:18" ht="24.75" customHeight="1">
      <c r="A77" s="43" t="s">
        <v>127</v>
      </c>
      <c r="B77" s="24" t="s">
        <v>128</v>
      </c>
      <c r="C77" s="5"/>
      <c r="D77" s="823"/>
      <c r="E77" s="816"/>
      <c r="F77" s="823"/>
      <c r="G77" s="823"/>
      <c r="H77" s="823"/>
      <c r="I77" s="823"/>
      <c r="J77" s="821"/>
      <c r="K77" s="844"/>
      <c r="L77" s="830"/>
      <c r="M77" s="830"/>
      <c r="N77" s="830"/>
      <c r="O77" s="39"/>
      <c r="P77" s="46"/>
      <c r="Q77" s="5"/>
      <c r="R77" s="5"/>
    </row>
    <row r="78" spans="1:18" ht="15.75" customHeight="1">
      <c r="A78" s="44" t="s">
        <v>107</v>
      </c>
      <c r="B78" s="24" t="s">
        <v>129</v>
      </c>
      <c r="C78" s="5"/>
      <c r="D78" s="823"/>
      <c r="E78" s="816"/>
      <c r="F78" s="823"/>
      <c r="G78" s="823"/>
      <c r="H78" s="823"/>
      <c r="I78" s="823"/>
      <c r="J78" s="821"/>
      <c r="K78" s="844"/>
      <c r="L78" s="830"/>
      <c r="M78" s="830"/>
      <c r="N78" s="830"/>
      <c r="O78" s="39"/>
      <c r="P78" s="46"/>
      <c r="Q78" s="5"/>
      <c r="R78" s="5"/>
    </row>
    <row r="79" spans="1:18" ht="15.75" customHeight="1">
      <c r="A79" s="44" t="s">
        <v>109</v>
      </c>
      <c r="B79" s="24" t="s">
        <v>130</v>
      </c>
      <c r="C79" s="5"/>
      <c r="D79" s="823"/>
      <c r="E79" s="816"/>
      <c r="F79" s="823"/>
      <c r="G79" s="823"/>
      <c r="H79" s="823"/>
      <c r="I79" s="823"/>
      <c r="J79" s="821"/>
      <c r="K79" s="844"/>
      <c r="L79" s="830"/>
      <c r="M79" s="830"/>
      <c r="N79" s="830"/>
      <c r="O79" s="39"/>
      <c r="P79" s="46"/>
      <c r="Q79" s="5"/>
      <c r="R79" s="5"/>
    </row>
    <row r="80" spans="1:18" ht="15.75" customHeight="1">
      <c r="A80" s="43" t="s">
        <v>131</v>
      </c>
      <c r="B80" s="24" t="s">
        <v>132</v>
      </c>
      <c r="C80" s="5"/>
      <c r="D80" s="823"/>
      <c r="E80" s="816"/>
      <c r="F80" s="823"/>
      <c r="G80" s="823"/>
      <c r="H80" s="823"/>
      <c r="I80" s="823"/>
      <c r="J80" s="821"/>
      <c r="K80" s="844"/>
      <c r="L80" s="830"/>
      <c r="M80" s="830"/>
      <c r="N80" s="830"/>
      <c r="O80" s="39"/>
      <c r="P80" s="46"/>
      <c r="Q80" s="5"/>
      <c r="R80" s="5"/>
    </row>
    <row r="81" spans="1:18" ht="15.75" customHeight="1">
      <c r="A81" s="44" t="s">
        <v>107</v>
      </c>
      <c r="B81" s="24" t="s">
        <v>133</v>
      </c>
      <c r="C81" s="5"/>
      <c r="D81" s="823"/>
      <c r="E81" s="816"/>
      <c r="F81" s="823"/>
      <c r="G81" s="823"/>
      <c r="H81" s="823"/>
      <c r="I81" s="823"/>
      <c r="J81" s="821"/>
      <c r="K81" s="844"/>
      <c r="L81" s="830"/>
      <c r="M81" s="830"/>
      <c r="N81" s="830"/>
      <c r="O81" s="39"/>
      <c r="P81" s="46"/>
      <c r="Q81" s="5"/>
      <c r="R81" s="5"/>
    </row>
    <row r="82" spans="1:18" ht="15.75" customHeight="1">
      <c r="A82" s="44" t="s">
        <v>109</v>
      </c>
      <c r="B82" s="24" t="s">
        <v>134</v>
      </c>
      <c r="C82" s="5"/>
      <c r="D82" s="823"/>
      <c r="E82" s="816"/>
      <c r="F82" s="823"/>
      <c r="G82" s="823"/>
      <c r="H82" s="823"/>
      <c r="I82" s="823"/>
      <c r="J82" s="821"/>
      <c r="K82" s="844"/>
      <c r="L82" s="830"/>
      <c r="M82" s="830"/>
      <c r="N82" s="830"/>
      <c r="O82" s="39"/>
      <c r="P82" s="46"/>
      <c r="Q82" s="5"/>
      <c r="R82" s="5"/>
    </row>
    <row r="83" spans="1:18" ht="15.75" customHeight="1">
      <c r="A83" s="43" t="s">
        <v>135</v>
      </c>
      <c r="B83" s="24" t="s">
        <v>136</v>
      </c>
      <c r="C83" s="5"/>
      <c r="D83" s="823"/>
      <c r="E83" s="816"/>
      <c r="F83" s="823"/>
      <c r="G83" s="823"/>
      <c r="H83" s="823"/>
      <c r="I83" s="823"/>
      <c r="J83" s="821"/>
      <c r="K83" s="844"/>
      <c r="L83" s="830"/>
      <c r="M83" s="830"/>
      <c r="N83" s="830"/>
      <c r="O83" s="39"/>
      <c r="P83" s="46"/>
      <c r="Q83" s="5"/>
      <c r="R83" s="5"/>
    </row>
    <row r="84" spans="1:18" ht="15.75" customHeight="1">
      <c r="A84" s="44" t="s">
        <v>107</v>
      </c>
      <c r="B84" s="24" t="s">
        <v>137</v>
      </c>
      <c r="C84" s="5"/>
      <c r="D84" s="823"/>
      <c r="E84" s="816"/>
      <c r="F84" s="823"/>
      <c r="G84" s="823"/>
      <c r="H84" s="823"/>
      <c r="I84" s="823"/>
      <c r="J84" s="821"/>
      <c r="K84" s="844"/>
      <c r="L84" s="841">
        <f>L43+L58-L51</f>
        <v>536417</v>
      </c>
      <c r="M84" s="841">
        <f>M43+M58-M51</f>
        <v>72805.08</v>
      </c>
      <c r="N84" s="841">
        <f>N43+N58-N51</f>
        <v>38582</v>
      </c>
      <c r="O84" s="39"/>
      <c r="P84" s="46"/>
      <c r="Q84" s="5"/>
      <c r="R84" s="5"/>
    </row>
    <row r="85" spans="1:18" ht="15.75" customHeight="1">
      <c r="A85" s="44" t="s">
        <v>109</v>
      </c>
      <c r="B85" s="24" t="s">
        <v>138</v>
      </c>
      <c r="C85" s="5"/>
      <c r="D85" s="823"/>
      <c r="E85" s="816"/>
      <c r="F85" s="823"/>
      <c r="G85" s="823"/>
      <c r="H85" s="823"/>
      <c r="I85" s="823"/>
      <c r="J85" s="821"/>
      <c r="K85" s="844"/>
      <c r="L85" s="841">
        <f>L54+L51</f>
        <v>56444.869999999995</v>
      </c>
      <c r="M85" s="841">
        <f>M54+M51</f>
        <v>3038.77</v>
      </c>
      <c r="N85" s="830">
        <f>N54+N51</f>
        <v>5500</v>
      </c>
      <c r="O85" s="39"/>
      <c r="P85" s="46"/>
      <c r="Q85" s="5"/>
      <c r="R85" s="5"/>
    </row>
    <row r="86" spans="1:18" ht="15.75" customHeight="1">
      <c r="A86" s="43" t="s">
        <v>139</v>
      </c>
      <c r="B86" s="24" t="s">
        <v>140</v>
      </c>
      <c r="C86" s="5"/>
      <c r="D86" s="823"/>
      <c r="E86" s="816"/>
      <c r="F86" s="823"/>
      <c r="G86" s="823"/>
      <c r="H86" s="823"/>
      <c r="I86" s="823"/>
      <c r="J86" s="821"/>
      <c r="K86" s="844"/>
      <c r="L86" s="830"/>
      <c r="M86" s="830"/>
      <c r="N86" s="830"/>
      <c r="O86" s="39"/>
      <c r="P86" s="46"/>
      <c r="Q86" s="5"/>
      <c r="R86" s="5"/>
    </row>
    <row r="87" spans="1:18" ht="15.75" customHeight="1">
      <c r="A87" s="44" t="s">
        <v>107</v>
      </c>
      <c r="B87" s="24" t="s">
        <v>141</v>
      </c>
      <c r="C87" s="5"/>
      <c r="D87" s="823"/>
      <c r="E87" s="822">
        <f>F87+G87+H87+I87</f>
        <v>20893</v>
      </c>
      <c r="F87" s="829">
        <f>SUM(F44,F45,F57,F46,F52,F53)</f>
        <v>8560</v>
      </c>
      <c r="G87" s="823">
        <f>SUM(G44,G45,G57,G46,G52,G53,G58)</f>
        <v>8243</v>
      </c>
      <c r="H87" s="823">
        <f>SUM(H44,H45,H57,H46,H52,H53)</f>
        <v>1820</v>
      </c>
      <c r="I87" s="823">
        <f>SUM(I44,I45,I57,I46,I52,I53)</f>
        <v>2270</v>
      </c>
      <c r="J87" s="821"/>
      <c r="K87" s="844"/>
      <c r="L87" s="830"/>
      <c r="M87" s="830"/>
      <c r="N87" s="830"/>
      <c r="O87" s="39"/>
      <c r="P87" s="46"/>
      <c r="Q87" s="5"/>
      <c r="R87" s="5"/>
    </row>
    <row r="88" spans="1:18" ht="15.75" customHeight="1">
      <c r="A88" s="44" t="s">
        <v>109</v>
      </c>
      <c r="B88" s="24" t="s">
        <v>142</v>
      </c>
      <c r="C88" s="5"/>
      <c r="D88" s="823"/>
      <c r="E88" s="816">
        <f>F88+G88+H88+I88</f>
        <v>1285</v>
      </c>
      <c r="F88" s="823">
        <f>SUM(F51,F54)</f>
        <v>400</v>
      </c>
      <c r="G88" s="823">
        <f>SUM(G51,G54)</f>
        <v>885</v>
      </c>
      <c r="H88" s="823">
        <f>SUM(H51,H54)</f>
        <v>0</v>
      </c>
      <c r="I88" s="823">
        <f>SUM(I51,I54)</f>
        <v>0</v>
      </c>
      <c r="J88" s="821"/>
      <c r="K88" s="844"/>
      <c r="L88" s="830"/>
      <c r="M88" s="830"/>
      <c r="N88" s="830"/>
      <c r="O88" s="39"/>
      <c r="P88" s="46"/>
      <c r="Q88" s="5"/>
      <c r="R88" s="5"/>
    </row>
    <row r="89" spans="1:18" ht="24.75" customHeight="1">
      <c r="A89" s="43" t="s">
        <v>143</v>
      </c>
      <c r="B89" s="24" t="s">
        <v>144</v>
      </c>
      <c r="C89" s="5"/>
      <c r="D89" s="823"/>
      <c r="E89" s="816"/>
      <c r="F89" s="823"/>
      <c r="G89" s="823"/>
      <c r="H89" s="823"/>
      <c r="I89" s="823"/>
      <c r="J89" s="821"/>
      <c r="K89" s="844"/>
      <c r="L89" s="830"/>
      <c r="M89" s="830"/>
      <c r="N89" s="830"/>
      <c r="O89" s="39"/>
      <c r="P89" s="46"/>
      <c r="Q89" s="5"/>
      <c r="R89" s="5"/>
    </row>
    <row r="90" spans="1:18" ht="15.75" customHeight="1">
      <c r="A90" s="44" t="s">
        <v>107</v>
      </c>
      <c r="B90" s="24" t="s">
        <v>145</v>
      </c>
      <c r="C90" s="5"/>
      <c r="D90" s="823"/>
      <c r="E90" s="816"/>
      <c r="F90" s="823"/>
      <c r="G90" s="823"/>
      <c r="H90" s="823"/>
      <c r="I90" s="823"/>
      <c r="J90" s="821"/>
      <c r="K90" s="844"/>
      <c r="L90" s="830"/>
      <c r="M90" s="830"/>
      <c r="N90" s="830"/>
      <c r="O90" s="39"/>
      <c r="P90" s="46">
        <f>SUM(P44:P50,P52:P53)</f>
        <v>0</v>
      </c>
      <c r="Q90" s="5"/>
      <c r="R90" s="5"/>
    </row>
    <row r="91" spans="1:18" ht="15.75" customHeight="1">
      <c r="A91" s="44" t="s">
        <v>109</v>
      </c>
      <c r="B91" s="24" t="s">
        <v>146</v>
      </c>
      <c r="C91" s="5"/>
      <c r="D91" s="823"/>
      <c r="E91" s="816"/>
      <c r="F91" s="823"/>
      <c r="G91" s="823"/>
      <c r="H91" s="823"/>
      <c r="I91" s="823"/>
      <c r="J91" s="821"/>
      <c r="K91" s="844"/>
      <c r="L91" s="830"/>
      <c r="M91" s="830"/>
      <c r="N91" s="830"/>
      <c r="O91" s="39"/>
      <c r="P91" s="46">
        <f>SUM(P51,P54)</f>
        <v>0</v>
      </c>
      <c r="Q91" s="5"/>
      <c r="R91" s="5"/>
    </row>
    <row r="92" spans="1:18" ht="24.75" customHeight="1">
      <c r="A92" s="43" t="s">
        <v>147</v>
      </c>
      <c r="B92" s="24" t="s">
        <v>148</v>
      </c>
      <c r="C92" s="5"/>
      <c r="D92" s="823"/>
      <c r="E92" s="816"/>
      <c r="F92" s="823"/>
      <c r="G92" s="823"/>
      <c r="H92" s="823"/>
      <c r="I92" s="823"/>
      <c r="J92" s="821"/>
      <c r="K92" s="844"/>
      <c r="L92" s="830"/>
      <c r="M92" s="830"/>
      <c r="N92" s="830"/>
      <c r="O92" s="39"/>
      <c r="P92" s="46"/>
      <c r="Q92" s="5"/>
      <c r="R92" s="5"/>
    </row>
    <row r="93" spans="1:18" ht="15.75" customHeight="1">
      <c r="A93" s="44" t="s">
        <v>107</v>
      </c>
      <c r="B93" s="24" t="s">
        <v>149</v>
      </c>
      <c r="C93" s="5"/>
      <c r="D93" s="823"/>
      <c r="E93" s="816"/>
      <c r="F93" s="823"/>
      <c r="G93" s="823"/>
      <c r="H93" s="823"/>
      <c r="I93" s="823"/>
      <c r="J93" s="821"/>
      <c r="K93" s="844"/>
      <c r="L93" s="830"/>
      <c r="M93" s="830"/>
      <c r="N93" s="830"/>
      <c r="O93" s="39"/>
      <c r="P93" s="46"/>
      <c r="Q93" s="5"/>
      <c r="R93" s="5"/>
    </row>
    <row r="94" spans="1:18" ht="15.75" customHeight="1">
      <c r="A94" s="44" t="s">
        <v>109</v>
      </c>
      <c r="B94" s="24" t="s">
        <v>150</v>
      </c>
      <c r="C94" s="5"/>
      <c r="D94" s="823"/>
      <c r="E94" s="816"/>
      <c r="F94" s="823"/>
      <c r="G94" s="823"/>
      <c r="H94" s="823"/>
      <c r="I94" s="823"/>
      <c r="J94" s="821"/>
      <c r="K94" s="844"/>
      <c r="L94" s="830"/>
      <c r="M94" s="830"/>
      <c r="N94" s="830"/>
      <c r="O94" s="39"/>
      <c r="P94" s="46"/>
      <c r="Q94" s="5"/>
      <c r="R94" s="5"/>
    </row>
    <row r="95" spans="1:18" ht="15.75" customHeight="1">
      <c r="A95" s="43" t="s">
        <v>151</v>
      </c>
      <c r="B95" s="24" t="s">
        <v>152</v>
      </c>
      <c r="C95" s="5"/>
      <c r="D95" s="823"/>
      <c r="E95" s="816"/>
      <c r="F95" s="823"/>
      <c r="G95" s="823"/>
      <c r="H95" s="823"/>
      <c r="I95" s="823"/>
      <c r="J95" s="821"/>
      <c r="K95" s="844"/>
      <c r="L95" s="830"/>
      <c r="M95" s="830"/>
      <c r="N95" s="830"/>
      <c r="O95" s="39"/>
      <c r="P95" s="46"/>
      <c r="Q95" s="5"/>
      <c r="R95" s="5"/>
    </row>
    <row r="96" spans="1:18" ht="15.75" customHeight="1">
      <c r="A96" s="44" t="s">
        <v>107</v>
      </c>
      <c r="B96" s="24" t="s">
        <v>153</v>
      </c>
      <c r="C96" s="5"/>
      <c r="D96" s="823"/>
      <c r="E96" s="816"/>
      <c r="F96" s="823"/>
      <c r="G96" s="823"/>
      <c r="H96" s="823"/>
      <c r="I96" s="823"/>
      <c r="J96" s="821"/>
      <c r="K96" s="844">
        <f>SUM(K44:K45)</f>
        <v>0</v>
      </c>
      <c r="L96" s="830"/>
      <c r="M96" s="830"/>
      <c r="N96" s="830"/>
      <c r="O96" s="39"/>
      <c r="P96" s="46"/>
      <c r="Q96" s="5"/>
      <c r="R96" s="5"/>
    </row>
    <row r="97" spans="1:18" ht="15.75" customHeight="1">
      <c r="A97" s="44" t="s">
        <v>109</v>
      </c>
      <c r="B97" s="24" t="s">
        <v>154</v>
      </c>
      <c r="C97" s="5"/>
      <c r="D97" s="823"/>
      <c r="E97" s="816"/>
      <c r="F97" s="823"/>
      <c r="G97" s="823"/>
      <c r="H97" s="823"/>
      <c r="I97" s="823"/>
      <c r="J97" s="821"/>
      <c r="K97" s="844">
        <f>SUM(K50,K54)</f>
        <v>0</v>
      </c>
      <c r="L97" s="830"/>
      <c r="M97" s="830"/>
      <c r="N97" s="830"/>
      <c r="O97" s="39"/>
      <c r="P97" s="46"/>
      <c r="Q97" s="5"/>
      <c r="R97" s="5"/>
    </row>
    <row r="98" spans="1:18" ht="24.75" customHeight="1">
      <c r="A98" s="43" t="s">
        <v>155</v>
      </c>
      <c r="B98" s="24" t="s">
        <v>156</v>
      </c>
      <c r="C98" s="5"/>
      <c r="D98" s="823"/>
      <c r="E98" s="6"/>
      <c r="F98" s="823"/>
      <c r="G98" s="823"/>
      <c r="H98" s="823"/>
      <c r="I98" s="823"/>
      <c r="J98" s="45"/>
      <c r="K98" s="844"/>
      <c r="L98" s="830"/>
      <c r="M98" s="830"/>
      <c r="N98" s="830"/>
      <c r="O98" s="39"/>
      <c r="P98" s="46"/>
      <c r="Q98" s="5"/>
      <c r="R98" s="5"/>
    </row>
    <row r="99" spans="1:18" ht="15.75" customHeight="1">
      <c r="A99" s="44" t="s">
        <v>107</v>
      </c>
      <c r="B99" s="24" t="s">
        <v>157</v>
      </c>
      <c r="C99" s="5"/>
      <c r="D99" s="823"/>
      <c r="E99" s="6"/>
      <c r="F99" s="823"/>
      <c r="G99" s="823"/>
      <c r="H99" s="823"/>
      <c r="I99" s="823"/>
      <c r="J99" s="45"/>
      <c r="K99" s="844"/>
      <c r="L99" s="830"/>
      <c r="M99" s="830"/>
      <c r="N99" s="830"/>
      <c r="O99" s="39"/>
      <c r="P99" s="46"/>
      <c r="Q99" s="5"/>
      <c r="R99" s="5"/>
    </row>
    <row r="100" spans="1:18" ht="15.75" customHeight="1">
      <c r="A100" s="44" t="s">
        <v>109</v>
      </c>
      <c r="B100" s="24" t="s">
        <v>158</v>
      </c>
      <c r="C100" s="5"/>
      <c r="D100" s="823"/>
      <c r="E100" s="6"/>
      <c r="F100" s="823"/>
      <c r="G100" s="823"/>
      <c r="H100" s="823"/>
      <c r="I100" s="823"/>
      <c r="J100" s="45"/>
      <c r="K100" s="844"/>
      <c r="L100" s="830"/>
      <c r="M100" s="830"/>
      <c r="N100" s="830"/>
      <c r="O100" s="39"/>
      <c r="P100" s="46"/>
      <c r="Q100" s="5"/>
      <c r="R100" s="5"/>
    </row>
    <row r="101" spans="1:18" ht="15.75" customHeight="1">
      <c r="A101" s="43" t="s">
        <v>159</v>
      </c>
      <c r="B101" s="24" t="s">
        <v>160</v>
      </c>
      <c r="C101" s="5"/>
      <c r="D101" s="823"/>
      <c r="E101" s="6"/>
      <c r="F101" s="823"/>
      <c r="G101" s="823"/>
      <c r="H101" s="823"/>
      <c r="I101" s="823"/>
      <c r="J101" s="45"/>
      <c r="K101" s="844"/>
      <c r="L101" s="830"/>
      <c r="M101" s="830"/>
      <c r="N101" s="830"/>
      <c r="O101" s="39"/>
      <c r="P101" s="46"/>
      <c r="Q101" s="5"/>
      <c r="R101" s="5"/>
    </row>
    <row r="102" spans="1:18" ht="15.75" customHeight="1">
      <c r="A102" s="44" t="s">
        <v>107</v>
      </c>
      <c r="B102" s="24" t="s">
        <v>161</v>
      </c>
      <c r="C102" s="5"/>
      <c r="D102" s="823"/>
      <c r="E102" s="6"/>
      <c r="F102" s="823"/>
      <c r="G102" s="823"/>
      <c r="H102" s="823"/>
      <c r="I102" s="823"/>
      <c r="J102" s="45"/>
      <c r="K102" s="844"/>
      <c r="L102" s="830"/>
      <c r="M102" s="830"/>
      <c r="N102" s="830"/>
      <c r="O102" s="39"/>
      <c r="P102" s="46"/>
      <c r="Q102" s="5"/>
      <c r="R102" s="5"/>
    </row>
    <row r="103" spans="1:18" ht="15.75" customHeight="1">
      <c r="A103" s="44" t="s">
        <v>109</v>
      </c>
      <c r="B103" s="24" t="s">
        <v>162</v>
      </c>
      <c r="C103" s="5"/>
      <c r="D103" s="823"/>
      <c r="E103" s="6"/>
      <c r="F103" s="823"/>
      <c r="G103" s="823"/>
      <c r="H103" s="823"/>
      <c r="I103" s="823"/>
      <c r="J103" s="45"/>
      <c r="K103" s="844"/>
      <c r="L103" s="830"/>
      <c r="M103" s="830"/>
      <c r="N103" s="830"/>
      <c r="O103" s="39"/>
      <c r="P103" s="46"/>
      <c r="Q103" s="5"/>
      <c r="R103" s="5"/>
    </row>
    <row r="104" spans="1:18" ht="24.75" customHeight="1">
      <c r="A104" s="43" t="s">
        <v>163</v>
      </c>
      <c r="B104" s="24" t="s">
        <v>164</v>
      </c>
      <c r="C104" s="5"/>
      <c r="D104" s="823"/>
      <c r="E104" s="6"/>
      <c r="F104" s="823"/>
      <c r="G104" s="823"/>
      <c r="H104" s="823"/>
      <c r="I104" s="823"/>
      <c r="J104" s="45"/>
      <c r="K104" s="844"/>
      <c r="L104" s="830"/>
      <c r="M104" s="830"/>
      <c r="N104" s="830"/>
      <c r="O104" s="39"/>
      <c r="P104" s="46"/>
      <c r="Q104" s="5"/>
      <c r="R104" s="5"/>
    </row>
    <row r="105" spans="1:18" ht="15.75" customHeight="1">
      <c r="A105" s="44" t="s">
        <v>107</v>
      </c>
      <c r="B105" s="24" t="s">
        <v>165</v>
      </c>
      <c r="C105" s="5"/>
      <c r="D105" s="823"/>
      <c r="E105" s="6"/>
      <c r="F105" s="823"/>
      <c r="G105" s="823"/>
      <c r="H105" s="823"/>
      <c r="I105" s="823"/>
      <c r="J105" s="45"/>
      <c r="K105" s="844"/>
      <c r="L105" s="830"/>
      <c r="M105" s="830"/>
      <c r="N105" s="830"/>
      <c r="O105" s="39"/>
      <c r="P105" s="46"/>
      <c r="Q105" s="5"/>
      <c r="R105" s="5"/>
    </row>
    <row r="106" spans="1:18" ht="15.75" customHeight="1">
      <c r="A106" s="44" t="s">
        <v>109</v>
      </c>
      <c r="B106" s="24" t="s">
        <v>166</v>
      </c>
      <c r="C106" s="5"/>
      <c r="D106" s="823"/>
      <c r="E106" s="6"/>
      <c r="F106" s="823"/>
      <c r="G106" s="823"/>
      <c r="H106" s="823"/>
      <c r="I106" s="823"/>
      <c r="J106" s="45"/>
      <c r="K106" s="844"/>
      <c r="L106" s="830"/>
      <c r="M106" s="830"/>
      <c r="N106" s="830"/>
      <c r="O106" s="39"/>
      <c r="P106" s="46"/>
      <c r="Q106" s="5"/>
      <c r="R106" s="5"/>
    </row>
    <row r="107" spans="1:18" ht="15.75" customHeight="1">
      <c r="A107" s="43" t="s">
        <v>167</v>
      </c>
      <c r="B107" s="24" t="s">
        <v>168</v>
      </c>
      <c r="C107" s="5"/>
      <c r="D107" s="823"/>
      <c r="E107" s="6"/>
      <c r="F107" s="823"/>
      <c r="G107" s="823"/>
      <c r="H107" s="823"/>
      <c r="I107" s="823"/>
      <c r="J107" s="45"/>
      <c r="K107" s="844"/>
      <c r="L107" s="830"/>
      <c r="M107" s="830"/>
      <c r="N107" s="830"/>
      <c r="O107" s="39"/>
      <c r="P107" s="46"/>
      <c r="Q107" s="5"/>
      <c r="R107" s="5"/>
    </row>
    <row r="108" spans="1:18" ht="15.75" customHeight="1">
      <c r="A108" s="44" t="s">
        <v>107</v>
      </c>
      <c r="B108" s="24" t="s">
        <v>169</v>
      </c>
      <c r="C108" s="5"/>
      <c r="D108" s="823"/>
      <c r="E108" s="6"/>
      <c r="F108" s="823"/>
      <c r="G108" s="823"/>
      <c r="H108" s="823"/>
      <c r="I108" s="823"/>
      <c r="J108" s="45"/>
      <c r="K108" s="844"/>
      <c r="L108" s="830"/>
      <c r="M108" s="830"/>
      <c r="N108" s="830"/>
      <c r="O108" s="39"/>
      <c r="P108" s="46"/>
      <c r="Q108" s="5"/>
      <c r="R108" s="5"/>
    </row>
    <row r="109" spans="1:18" ht="15.75" customHeight="1">
      <c r="A109" s="44" t="s">
        <v>109</v>
      </c>
      <c r="B109" s="24" t="s">
        <v>170</v>
      </c>
      <c r="C109" s="5"/>
      <c r="D109" s="823"/>
      <c r="E109" s="6"/>
      <c r="F109" s="823"/>
      <c r="G109" s="823"/>
      <c r="H109" s="823"/>
      <c r="I109" s="823"/>
      <c r="J109" s="45"/>
      <c r="K109" s="844"/>
      <c r="L109" s="830"/>
      <c r="M109" s="830"/>
      <c r="N109" s="830"/>
      <c r="O109" s="39"/>
      <c r="P109" s="46"/>
      <c r="Q109" s="5"/>
      <c r="R109" s="5"/>
    </row>
    <row r="110" spans="1:18" ht="15.75" customHeight="1">
      <c r="A110" s="43" t="s">
        <v>171</v>
      </c>
      <c r="B110" s="24" t="s">
        <v>172</v>
      </c>
      <c r="C110" s="5"/>
      <c r="D110" s="823"/>
      <c r="E110" s="6"/>
      <c r="F110" s="823"/>
      <c r="G110" s="823"/>
      <c r="H110" s="823"/>
      <c r="I110" s="823"/>
      <c r="J110" s="45"/>
      <c r="K110" s="844"/>
      <c r="L110" s="830"/>
      <c r="M110" s="830"/>
      <c r="N110" s="830"/>
      <c r="O110" s="39"/>
      <c r="P110" s="46"/>
      <c r="Q110" s="5"/>
      <c r="R110" s="5"/>
    </row>
    <row r="111" spans="1:18" ht="15.75" customHeight="1">
      <c r="A111" s="44" t="s">
        <v>107</v>
      </c>
      <c r="B111" s="24" t="s">
        <v>173</v>
      </c>
      <c r="C111" s="5"/>
      <c r="D111" s="823"/>
      <c r="E111" s="6"/>
      <c r="F111" s="823"/>
      <c r="G111" s="823"/>
      <c r="H111" s="823"/>
      <c r="I111" s="823"/>
      <c r="J111" s="45"/>
      <c r="K111" s="844"/>
      <c r="L111" s="830"/>
      <c r="M111" s="830"/>
      <c r="N111" s="830"/>
      <c r="O111" s="39"/>
      <c r="P111" s="46"/>
      <c r="Q111" s="5"/>
      <c r="R111" s="5"/>
    </row>
    <row r="112" spans="1:18" ht="15.75" customHeight="1">
      <c r="A112" s="54" t="s">
        <v>109</v>
      </c>
      <c r="B112" s="55" t="s">
        <v>174</v>
      </c>
      <c r="C112" s="5"/>
      <c r="D112" s="823"/>
      <c r="E112" s="6"/>
      <c r="F112" s="823"/>
      <c r="G112" s="823"/>
      <c r="H112" s="823"/>
      <c r="I112" s="823"/>
      <c r="J112" s="45"/>
      <c r="K112" s="844"/>
      <c r="L112" s="830"/>
      <c r="M112" s="830"/>
      <c r="N112" s="830"/>
      <c r="O112" s="39"/>
      <c r="P112" s="46"/>
      <c r="Q112" s="5"/>
      <c r="R112" s="5"/>
    </row>
    <row r="113" spans="1:18" ht="15.75" customHeight="1">
      <c r="A113" s="7" t="s">
        <v>175</v>
      </c>
      <c r="B113" s="7"/>
      <c r="C113" s="5"/>
      <c r="D113" s="823"/>
      <c r="E113" s="6"/>
      <c r="F113" s="823"/>
      <c r="G113" s="823"/>
      <c r="H113" s="823"/>
      <c r="I113" s="823"/>
      <c r="J113" s="45"/>
      <c r="K113" s="844"/>
      <c r="L113" s="830"/>
      <c r="M113" s="830"/>
      <c r="N113" s="830"/>
      <c r="O113" s="39"/>
      <c r="P113" s="46"/>
      <c r="Q113" s="5"/>
      <c r="R113" s="5"/>
    </row>
    <row r="114" spans="1:18" ht="15.75" customHeight="1">
      <c r="A114" s="5"/>
      <c r="B114" s="5"/>
      <c r="C114" s="5"/>
      <c r="D114" s="823"/>
      <c r="E114" s="6"/>
      <c r="F114" s="823"/>
      <c r="G114" s="823"/>
      <c r="H114" s="823"/>
      <c r="I114" s="823"/>
      <c r="J114" s="45"/>
      <c r="K114" s="844"/>
      <c r="L114" s="830"/>
      <c r="M114" s="830"/>
      <c r="N114" s="830"/>
      <c r="O114" s="39"/>
      <c r="P114" s="46"/>
      <c r="Q114" s="5"/>
      <c r="R114" s="5"/>
    </row>
    <row r="115" spans="1:18" ht="15.75" customHeight="1">
      <c r="A115" s="4" t="s">
        <v>176</v>
      </c>
      <c r="B115" s="5"/>
      <c r="C115" s="5"/>
      <c r="D115" s="823"/>
      <c r="E115" s="6"/>
      <c r="F115" s="823"/>
      <c r="G115" s="823"/>
      <c r="H115" s="823"/>
      <c r="I115" s="823"/>
      <c r="J115" s="45"/>
      <c r="K115" s="844"/>
      <c r="L115" s="830"/>
      <c r="M115" s="830"/>
      <c r="N115" s="830"/>
      <c r="O115" s="39"/>
      <c r="P115" s="46"/>
      <c r="Q115" s="5"/>
      <c r="R115" s="5"/>
    </row>
    <row r="116" spans="1:18" ht="15.75" customHeight="1">
      <c r="A116" s="56" t="s">
        <v>177</v>
      </c>
      <c r="B116" s="5"/>
      <c r="C116" s="5"/>
      <c r="D116" s="823"/>
      <c r="E116" s="6"/>
      <c r="F116" s="823"/>
      <c r="G116" s="823"/>
      <c r="H116" s="823"/>
      <c r="I116" s="823"/>
      <c r="J116" s="45"/>
      <c r="K116" s="844"/>
      <c r="L116" s="830"/>
      <c r="M116" s="830"/>
      <c r="N116" s="830"/>
      <c r="O116" s="39"/>
      <c r="P116" s="46"/>
      <c r="Q116" s="5"/>
      <c r="R116" s="5"/>
    </row>
    <row r="117" spans="1:18" ht="15.75" customHeight="1">
      <c r="A117" s="56"/>
      <c r="B117" s="5"/>
      <c r="C117" s="5"/>
      <c r="D117" s="823"/>
      <c r="E117" s="6"/>
      <c r="F117" s="823"/>
      <c r="G117" s="823"/>
      <c r="H117" s="823"/>
      <c r="I117" s="823"/>
      <c r="J117" s="45"/>
      <c r="K117" s="844"/>
      <c r="L117" s="830"/>
      <c r="M117" s="830"/>
      <c r="N117" s="830"/>
      <c r="O117" s="39"/>
      <c r="P117" s="46"/>
      <c r="Q117" s="5"/>
      <c r="R117" s="5"/>
    </row>
    <row r="118" spans="1:18" ht="15.75" customHeight="1">
      <c r="A118" s="56"/>
      <c r="B118" s="5"/>
      <c r="C118" s="5"/>
      <c r="D118" s="823"/>
      <c r="E118" s="6"/>
      <c r="F118" s="823"/>
      <c r="G118" s="823"/>
      <c r="H118" s="823"/>
      <c r="I118" s="823"/>
      <c r="J118" s="45"/>
      <c r="K118" s="844"/>
      <c r="L118" s="830"/>
      <c r="M118" s="830"/>
      <c r="N118" s="830"/>
      <c r="O118" s="39"/>
      <c r="P118" s="46"/>
      <c r="Q118" s="5"/>
      <c r="R118" s="5"/>
    </row>
    <row r="119" spans="1:18" ht="15.75" customHeight="1">
      <c r="A119" s="56"/>
      <c r="B119" s="5"/>
      <c r="C119" s="5"/>
      <c r="D119" s="823"/>
      <c r="E119" s="6"/>
      <c r="F119" s="823"/>
      <c r="G119" s="823"/>
      <c r="H119" s="823"/>
      <c r="I119" s="823"/>
      <c r="J119" s="45"/>
      <c r="K119" s="844"/>
      <c r="L119" s="830"/>
      <c r="M119" s="830"/>
      <c r="N119" s="830"/>
      <c r="O119" s="39"/>
      <c r="P119" s="46"/>
      <c r="Q119" s="5"/>
      <c r="R119" s="5"/>
    </row>
    <row r="120" spans="1:18" ht="15.75" customHeight="1">
      <c r="A120" s="5"/>
      <c r="B120" s="5"/>
      <c r="C120" s="5"/>
      <c r="D120" s="823"/>
      <c r="E120" s="6"/>
      <c r="F120" s="823"/>
      <c r="G120" s="823"/>
      <c r="H120" s="823"/>
      <c r="I120" s="823"/>
      <c r="J120" s="45"/>
      <c r="K120" s="844"/>
      <c r="L120" s="830"/>
      <c r="M120" s="830"/>
      <c r="N120" s="830"/>
      <c r="O120" s="39"/>
      <c r="P120" s="46"/>
      <c r="Q120" s="5"/>
      <c r="R120" s="5"/>
    </row>
    <row r="121" spans="1:18" ht="15.75" customHeight="1">
      <c r="A121" s="5"/>
      <c r="B121" s="5"/>
      <c r="C121" s="5"/>
      <c r="D121" s="823"/>
      <c r="E121" s="6"/>
      <c r="F121" s="823"/>
      <c r="G121" s="823"/>
      <c r="H121" s="823"/>
      <c r="I121" s="823"/>
      <c r="J121" s="45"/>
      <c r="K121" s="844"/>
      <c r="L121" s="830"/>
      <c r="M121" s="830"/>
      <c r="N121" s="830"/>
      <c r="O121" s="39"/>
      <c r="P121" s="46"/>
      <c r="Q121" s="5"/>
      <c r="R121" s="5"/>
    </row>
    <row r="122" spans="1:18" ht="15.75" customHeight="1">
      <c r="A122" s="5"/>
      <c r="B122" s="57"/>
      <c r="C122" s="5"/>
      <c r="D122" s="823"/>
      <c r="E122" s="6"/>
      <c r="F122" s="823"/>
      <c r="G122" s="823"/>
      <c r="H122" s="823"/>
      <c r="I122" s="823"/>
      <c r="J122" s="45"/>
      <c r="K122" s="844"/>
      <c r="L122" s="830"/>
      <c r="M122" s="830"/>
      <c r="N122" s="830"/>
      <c r="O122" s="39"/>
      <c r="P122" s="46"/>
      <c r="Q122" s="5"/>
      <c r="R122" s="5"/>
    </row>
    <row r="123" spans="1:18" ht="15.75" customHeight="1">
      <c r="A123" s="58"/>
      <c r="B123" s="58"/>
      <c r="C123" s="5"/>
      <c r="D123" s="823"/>
      <c r="E123" s="6"/>
      <c r="F123" s="823"/>
      <c r="G123" s="823"/>
      <c r="H123" s="823"/>
      <c r="I123" s="823"/>
      <c r="J123" s="45"/>
      <c r="K123" s="844"/>
      <c r="L123" s="830"/>
      <c r="M123" s="830"/>
      <c r="N123" s="830"/>
      <c r="O123" s="39"/>
      <c r="P123" s="46"/>
      <c r="Q123" s="5"/>
      <c r="R123" s="5"/>
    </row>
    <row r="124" spans="1:18" ht="15.75" customHeight="1">
      <c r="A124" s="58"/>
      <c r="B124" s="58"/>
      <c r="C124" s="5"/>
      <c r="D124" s="823"/>
      <c r="E124" s="6"/>
      <c r="F124" s="823"/>
      <c r="G124" s="823"/>
      <c r="H124" s="823"/>
      <c r="I124" s="823"/>
      <c r="J124" s="45"/>
      <c r="K124" s="844"/>
      <c r="L124" s="830"/>
      <c r="M124" s="830"/>
      <c r="N124" s="830"/>
      <c r="O124" s="39"/>
      <c r="P124" s="46"/>
      <c r="Q124" s="5"/>
      <c r="R124" s="5"/>
    </row>
    <row r="125" spans="1:18" ht="15.75" customHeight="1">
      <c r="A125" s="5"/>
      <c r="B125" s="59"/>
      <c r="C125" s="5"/>
      <c r="D125" s="823"/>
      <c r="E125" s="6"/>
      <c r="F125" s="823"/>
      <c r="G125" s="823"/>
      <c r="H125" s="823"/>
      <c r="I125" s="823"/>
      <c r="J125" s="45"/>
      <c r="K125" s="844"/>
      <c r="L125" s="830"/>
      <c r="M125" s="830"/>
      <c r="N125" s="830"/>
      <c r="O125" s="39"/>
      <c r="P125" s="46"/>
      <c r="Q125" s="5"/>
      <c r="R125" s="5"/>
    </row>
    <row r="126" spans="1:18" ht="15.75" customHeight="1">
      <c r="A126" s="60" t="s">
        <v>180</v>
      </c>
      <c r="B126" s="59"/>
      <c r="C126" s="5"/>
      <c r="D126" s="823"/>
      <c r="E126" s="6"/>
      <c r="F126" s="823"/>
      <c r="G126" s="823"/>
      <c r="H126" s="823"/>
      <c r="I126" s="823"/>
      <c r="J126" s="45"/>
      <c r="K126" s="844"/>
      <c r="L126" s="830"/>
      <c r="M126" s="830"/>
      <c r="N126" s="830"/>
      <c r="O126" s="39"/>
      <c r="P126" s="46"/>
      <c r="Q126" s="5"/>
      <c r="R126" s="5"/>
    </row>
    <row r="127" spans="1:18" ht="15.75" customHeight="1">
      <c r="A127" s="60" t="s">
        <v>181</v>
      </c>
      <c r="B127" s="59"/>
      <c r="C127" s="5"/>
      <c r="D127" s="823"/>
      <c r="E127" s="6"/>
      <c r="F127" s="823"/>
      <c r="G127" s="823"/>
      <c r="H127" s="823"/>
      <c r="I127" s="823"/>
      <c r="J127" s="45"/>
      <c r="K127" s="844"/>
      <c r="L127" s="830"/>
      <c r="M127" s="830"/>
      <c r="N127" s="830"/>
      <c r="O127" s="39"/>
      <c r="P127" s="46"/>
      <c r="Q127" s="5"/>
      <c r="R127" s="5"/>
    </row>
  </sheetData>
  <mergeCells count="1">
    <mergeCell ref="B9:B11"/>
  </mergeCells>
  <pageMargins left="0.7" right="0.7" top="0.75" bottom="0.75" header="0" footer="0"/>
  <pageSetup orientation="landscape"/>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buget general al UAT</vt:lpstr>
      <vt:lpstr>buget 2025</vt:lpstr>
      <vt:lpstr>Sheet2</vt:lpstr>
      <vt:lpstr>'buget 2025'!Print_Area</vt:lpstr>
      <vt:lpstr>'buget general al UAT'!Print_Area</vt:lpstr>
      <vt:lpstr>'buget 2025'!Print_Titles</vt:lpstr>
      <vt:lpstr>'buget general al UAT'!Print_Titles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buget</dc:creator>
  <cp:lastModifiedBy>Florentina Dudas</cp:lastModifiedBy>
  <cp:lastPrinted>2025-03-28T06:51:32Z</cp:lastPrinted>
  <dcterms:created xsi:type="dcterms:W3CDTF">2000-12-16T12:20:00Z</dcterms:created>
  <dcterms:modified xsi:type="dcterms:W3CDTF">2025-03-28T06:51:33Z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1033-12.2.0.20326</vt:lpwstr>
  </property>
  <property fmtid="{D5CDD505-2E9C-101B-9397-08002B2CF9AE}" pid="3" name="ICV">
    <vt:lpwstr>D78E7A926F994239AB6389BEA38A7630_12</vt:lpwstr>
  </property>
</Properties>
</file>